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Stuudiod/"/>
    </mc:Choice>
  </mc:AlternateContent>
  <xr:revisionPtr revIDLastSave="28" documentId="8_{F1F0B95C-9197-4A96-9A22-EB1BF15F83EB}" xr6:coauthVersionLast="47" xr6:coauthVersionMax="47" xr10:uidLastSave="{D1AA9925-3314-40E0-8A94-2BD3A00143E6}"/>
  <bookViews>
    <workbookView xWindow="-110" yWindow="-110" windowWidth="19420" windowHeight="10420" tabRatio="726" activeTab="3" xr2:uid="{00000000-000D-0000-FFFF-FFFF00000000}"/>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5. Abikõlblik kulu" sheetId="7" r:id="rId7"/>
    <sheet name="6. Rahavood" sheetId="8" r:id="rId8"/>
    <sheet name="7. Tasuvus" sheetId="11" r:id="rId9"/>
    <sheet name="8. Jääkväärtus" sheetId="13" r:id="rId10"/>
    <sheet name="Asendusinvesteeringud" sheetId="28" r:id="rId11"/>
    <sheet name="Maksumäärad" sheetId="10" r:id="rId12"/>
    <sheet name="Arvestusperioodid" sheetId="12" r:id="rId13"/>
    <sheet name="Ruumid" sheetId="14" r:id="rId14"/>
    <sheet name="Eeldused25" sheetId="15" r:id="rId15"/>
    <sheet name="Tulud25" sheetId="16" r:id="rId16"/>
    <sheet name="Kulud25" sheetId="17" r:id="rId17"/>
    <sheet name="Eeldused50" sheetId="22" r:id="rId18"/>
    <sheet name="Tulud50" sheetId="23" r:id="rId19"/>
    <sheet name="Kulud50" sheetId="24" r:id="rId20"/>
    <sheet name="Eeldused75" sheetId="25" r:id="rId21"/>
    <sheet name="Tulud75" sheetId="26" r:id="rId22"/>
    <sheet name="Kulud75" sheetId="27" r:id="rId23"/>
    <sheet name="Tegevuseelarve" sheetId="19" r:id="rId24"/>
    <sheet name="Sots.majanduslik moju" sheetId="18" r:id="rId25"/>
    <sheet name="Eeldused SotsMajand. moju" sheetId="20" r:id="rId26"/>
    <sheet name="Link tabel" sheetId="21" state="hidden" r:id="rId27"/>
  </sheets>
  <externalReferences>
    <externalReference r:id="rId28"/>
    <externalReference r:id="rId29"/>
  </externalReferences>
  <definedNames>
    <definedName name="Excel_BuiltIn_Database_0">#REF!</definedName>
    <definedName name="_xlnm.Print_Area" localSheetId="16">Kulud25!$A$1:$E$71</definedName>
    <definedName name="_xlnm.Print_Area" localSheetId="19">Kulud50!$A$1:$E$71</definedName>
    <definedName name="_xlnm.Print_Area" localSheetId="22">Kulud75!$A$1:$E$71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7">'6. Rahavood'!$A:$A,'6. Rahavood'!$3:$4</definedName>
    <definedName name="_xlnm.Print_Titles" localSheetId="8">'7. Tasuvus'!$A:$A,'7. Tasuvus'!$3:$4</definedName>
    <definedName name="_xlnm.Print_Titles" localSheetId="9">'8.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1" l="1"/>
  <c r="F94" i="1"/>
  <c r="F109" i="1"/>
  <c r="G109" i="1"/>
  <c r="F108" i="1"/>
  <c r="G108" i="1"/>
  <c r="F107" i="1"/>
  <c r="G107" i="1"/>
  <c r="G106" i="1"/>
  <c r="F106" i="1"/>
  <c r="F87" i="1"/>
  <c r="F86" i="1"/>
  <c r="F85" i="1"/>
  <c r="G87" i="1"/>
  <c r="G86" i="1"/>
  <c r="G85" i="1"/>
  <c r="E59" i="1"/>
  <c r="F59" i="1"/>
  <c r="E58" i="1"/>
  <c r="F58" i="1"/>
  <c r="D58" i="1"/>
  <c r="F19" i="1"/>
  <c r="G19" i="1"/>
  <c r="F15" i="1"/>
  <c r="G15" i="1"/>
  <c r="F11" i="1"/>
  <c r="G11" i="1"/>
  <c r="F7" i="1"/>
  <c r="G7" i="1"/>
  <c r="C8" i="27"/>
  <c r="C7" i="27"/>
  <c r="C8" i="24"/>
  <c r="C7" i="24"/>
  <c r="C8" i="17"/>
  <c r="C7" i="17"/>
  <c r="D13" i="25"/>
  <c r="C5" i="25"/>
  <c r="D13" i="22"/>
  <c r="C5" i="22"/>
  <c r="D13" i="15"/>
  <c r="C5" i="15"/>
  <c r="J19" i="2" l="1"/>
  <c r="E8" i="2"/>
  <c r="M36" i="21"/>
  <c r="L36" i="21"/>
  <c r="K36" i="21"/>
  <c r="D33" i="27" l="1"/>
  <c r="D33" i="24"/>
  <c r="D33" i="17"/>
  <c r="D32" i="17"/>
  <c r="D30" i="17"/>
  <c r="Q28" i="26"/>
  <c r="Q27" i="26"/>
  <c r="Q27" i="23"/>
  <c r="Q28" i="23" s="1"/>
  <c r="C33" i="19"/>
  <c r="A33" i="19"/>
  <c r="C32" i="19"/>
  <c r="A32" i="19"/>
  <c r="A29" i="19"/>
  <c r="A23" i="19"/>
  <c r="A22" i="19"/>
  <c r="A21" i="19"/>
  <c r="A20" i="19"/>
  <c r="A19" i="19"/>
  <c r="A18" i="19"/>
  <c r="A17" i="19"/>
  <c r="A16" i="19"/>
  <c r="A15" i="19"/>
  <c r="A14" i="19"/>
  <c r="S3" i="18"/>
  <c r="R3" i="18"/>
  <c r="Q3" i="18"/>
  <c r="P3" i="18"/>
  <c r="O3" i="18"/>
  <c r="N3" i="18"/>
  <c r="M3" i="18"/>
  <c r="L3" i="18"/>
  <c r="K3" i="18"/>
  <c r="J3" i="18"/>
  <c r="I3" i="18"/>
  <c r="H3" i="18"/>
  <c r="G3" i="18"/>
  <c r="F3" i="18"/>
  <c r="E3" i="18"/>
  <c r="A5" i="28" l="1"/>
  <c r="D17" i="11" l="1"/>
  <c r="E17" i="11"/>
  <c r="F17" i="11"/>
  <c r="G17" i="11"/>
  <c r="H17" i="11"/>
  <c r="I17" i="11"/>
  <c r="J17" i="11"/>
  <c r="K17" i="11"/>
  <c r="L17" i="11"/>
  <c r="M17" i="11"/>
  <c r="N17" i="11"/>
  <c r="O17" i="11"/>
  <c r="P17" i="11"/>
  <c r="Q17" i="11"/>
  <c r="D8" i="8" l="1"/>
  <c r="E8" i="8" l="1"/>
  <c r="C8" i="8"/>
  <c r="R28" i="26" l="1"/>
  <c r="R28" i="23"/>
  <c r="I11" i="1" s="1"/>
  <c r="J11" i="1" s="1"/>
  <c r="K11" i="1" s="1"/>
  <c r="L11" i="1" s="1"/>
  <c r="R27" i="26"/>
  <c r="S27" i="26" s="1"/>
  <c r="R27" i="23"/>
  <c r="S27" i="23" s="1"/>
  <c r="I107" i="1"/>
  <c r="M60" i="1"/>
  <c r="N60" i="1" s="1"/>
  <c r="O60" i="1" s="1"/>
  <c r="P60" i="1" s="1"/>
  <c r="Q60" i="1" s="1"/>
  <c r="R60" i="1" s="1"/>
  <c r="M59" i="1"/>
  <c r="N59" i="1" s="1"/>
  <c r="O59" i="1" s="1"/>
  <c r="P59" i="1" s="1"/>
  <c r="Q59" i="1" s="1"/>
  <c r="R59" i="1" s="1"/>
  <c r="M58" i="1"/>
  <c r="N58" i="1" s="1"/>
  <c r="O58" i="1" s="1"/>
  <c r="P58" i="1" s="1"/>
  <c r="Q58" i="1" s="1"/>
  <c r="R58" i="1" s="1"/>
  <c r="I60" i="1"/>
  <c r="J60" i="1" s="1"/>
  <c r="K60" i="1" s="1"/>
  <c r="L60" i="1" s="1"/>
  <c r="I59" i="1"/>
  <c r="J59" i="1" s="1"/>
  <c r="K59" i="1" s="1"/>
  <c r="L59" i="1" s="1"/>
  <c r="I58" i="1"/>
  <c r="H8" i="8" s="1"/>
  <c r="F60" i="1"/>
  <c r="G60" i="1" s="1"/>
  <c r="H60" i="1" s="1"/>
  <c r="G59" i="1"/>
  <c r="H59" i="1" s="1"/>
  <c r="G58" i="1"/>
  <c r="Q27" i="16"/>
  <c r="H23" i="1"/>
  <c r="I23" i="1" s="1"/>
  <c r="J23" i="1" s="1"/>
  <c r="K23" i="1" s="1"/>
  <c r="L23" i="1" s="1"/>
  <c r="M23" i="1" s="1"/>
  <c r="N23" i="1" s="1"/>
  <c r="O23" i="1" s="1"/>
  <c r="P23" i="1" s="1"/>
  <c r="Q23" i="1" s="1"/>
  <c r="R23" i="1" s="1"/>
  <c r="M20" i="1"/>
  <c r="N20" i="1" s="1"/>
  <c r="O20" i="1" s="1"/>
  <c r="P20" i="1" s="1"/>
  <c r="Q20" i="1" s="1"/>
  <c r="R20" i="1" s="1"/>
  <c r="M16" i="1"/>
  <c r="N16" i="1" s="1"/>
  <c r="O16" i="1" s="1"/>
  <c r="P16" i="1" s="1"/>
  <c r="Q16" i="1" s="1"/>
  <c r="R16" i="1" s="1"/>
  <c r="I20" i="1"/>
  <c r="J20" i="1" s="1"/>
  <c r="K20" i="1" s="1"/>
  <c r="L20" i="1" s="1"/>
  <c r="I16" i="1"/>
  <c r="F20" i="1"/>
  <c r="G20" i="1" s="1"/>
  <c r="H20" i="1" s="1"/>
  <c r="F16" i="1"/>
  <c r="G16" i="1" s="1"/>
  <c r="H16" i="1" s="1"/>
  <c r="J16" i="1"/>
  <c r="K16" i="1" s="1"/>
  <c r="L16" i="1" s="1"/>
  <c r="M12" i="1"/>
  <c r="N12" i="1" s="1"/>
  <c r="O12" i="1" s="1"/>
  <c r="P12" i="1" s="1"/>
  <c r="Q12" i="1" s="1"/>
  <c r="R12" i="1" s="1"/>
  <c r="M8" i="1"/>
  <c r="N8" i="1" s="1"/>
  <c r="O8" i="1" s="1"/>
  <c r="P8" i="1" s="1"/>
  <c r="Q8" i="1" s="1"/>
  <c r="R8" i="1" s="1"/>
  <c r="J12" i="1"/>
  <c r="K12" i="1" s="1"/>
  <c r="L12" i="1" s="1"/>
  <c r="I12" i="1"/>
  <c r="I8" i="1"/>
  <c r="J8" i="1" s="1"/>
  <c r="K8" i="1" s="1"/>
  <c r="L8" i="1" s="1"/>
  <c r="F12" i="1"/>
  <c r="G12" i="1" s="1"/>
  <c r="H12" i="1" s="1"/>
  <c r="F8" i="1"/>
  <c r="G8" i="1" s="1"/>
  <c r="H8" i="1" s="1"/>
  <c r="Q28" i="16"/>
  <c r="H58" i="1" l="1"/>
  <c r="G8" i="8" s="1"/>
  <c r="F8" i="8"/>
  <c r="J58" i="1"/>
  <c r="K58" i="1" s="1"/>
  <c r="L58" i="1" s="1"/>
  <c r="S28" i="26"/>
  <c r="R28" i="16"/>
  <c r="H11" i="1" s="1"/>
  <c r="S28" i="23"/>
  <c r="I7" i="1"/>
  <c r="J7" i="1" s="1"/>
  <c r="K7" i="1" s="1"/>
  <c r="L7" i="1" s="1"/>
  <c r="M11" i="1"/>
  <c r="N11" i="1" s="1"/>
  <c r="O11" i="1" s="1"/>
  <c r="P11" i="1" s="1"/>
  <c r="M7" i="1"/>
  <c r="N7" i="1" s="1"/>
  <c r="O7" i="1" s="1"/>
  <c r="P7" i="1" s="1"/>
  <c r="Q7" i="1" s="1"/>
  <c r="R7" i="1" s="1"/>
  <c r="R27" i="16"/>
  <c r="H7" i="1" s="1"/>
  <c r="E31" i="2"/>
  <c r="D28" i="27"/>
  <c r="D27" i="27"/>
  <c r="E27" i="27" s="1"/>
  <c r="G27" i="27" s="1"/>
  <c r="D26" i="27"/>
  <c r="D28" i="24"/>
  <c r="D27" i="24"/>
  <c r="E27" i="24" s="1"/>
  <c r="G27" i="24" s="1"/>
  <c r="D26" i="24"/>
  <c r="D27" i="17"/>
  <c r="D28" i="17"/>
  <c r="D26" i="17"/>
  <c r="F69" i="27"/>
  <c r="G68" i="27"/>
  <c r="G67" i="27"/>
  <c r="D59" i="27"/>
  <c r="E59" i="27" s="1"/>
  <c r="G59" i="27" s="1"/>
  <c r="D58" i="27"/>
  <c r="E58" i="27" s="1"/>
  <c r="E57" i="27"/>
  <c r="E56" i="27" s="1"/>
  <c r="E54" i="27"/>
  <c r="E52" i="27"/>
  <c r="D52" i="27"/>
  <c r="D51" i="27"/>
  <c r="E50" i="27"/>
  <c r="D50" i="27"/>
  <c r="E49" i="27"/>
  <c r="D49" i="27"/>
  <c r="E48" i="27"/>
  <c r="E46" i="27"/>
  <c r="D45" i="27"/>
  <c r="E45" i="27" s="1"/>
  <c r="D44" i="27"/>
  <c r="E44" i="27" s="1"/>
  <c r="G37" i="27"/>
  <c r="G36" i="27" s="1"/>
  <c r="F36" i="27"/>
  <c r="E36" i="27"/>
  <c r="C18" i="19" s="1"/>
  <c r="E33" i="27"/>
  <c r="G33" i="27" s="1"/>
  <c r="E32" i="27"/>
  <c r="D32" i="27"/>
  <c r="F31" i="27"/>
  <c r="D30" i="27"/>
  <c r="E30" i="27" s="1"/>
  <c r="F29" i="27"/>
  <c r="F25" i="27"/>
  <c r="C19" i="27"/>
  <c r="E19" i="27" s="1"/>
  <c r="G19" i="27" s="1"/>
  <c r="C18" i="27"/>
  <c r="C17" i="27" s="1"/>
  <c r="A17" i="27"/>
  <c r="G15" i="27"/>
  <c r="A15" i="27"/>
  <c r="C31" i="26"/>
  <c r="B31" i="26"/>
  <c r="A31" i="26"/>
  <c r="C30" i="26"/>
  <c r="B30" i="26"/>
  <c r="A30" i="26"/>
  <c r="C29" i="26"/>
  <c r="B29" i="26"/>
  <c r="M29" i="26" s="1"/>
  <c r="A29" i="26"/>
  <c r="G28" i="26"/>
  <c r="H28" i="26" s="1"/>
  <c r="C28" i="26"/>
  <c r="B28" i="26"/>
  <c r="N28" i="26" s="1"/>
  <c r="A28" i="26"/>
  <c r="G27" i="26"/>
  <c r="C27" i="26"/>
  <c r="B27" i="26"/>
  <c r="N27" i="26" s="1"/>
  <c r="A27" i="26"/>
  <c r="C26" i="26"/>
  <c r="B26" i="26"/>
  <c r="A26" i="26"/>
  <c r="N20" i="26"/>
  <c r="M20" i="26"/>
  <c r="N19" i="26"/>
  <c r="M19" i="26"/>
  <c r="N17" i="26"/>
  <c r="M17" i="26"/>
  <c r="N16" i="26"/>
  <c r="M16" i="26"/>
  <c r="O16" i="26" s="1"/>
  <c r="N14" i="26"/>
  <c r="M14" i="26"/>
  <c r="N13" i="26"/>
  <c r="M13" i="26"/>
  <c r="N11" i="26"/>
  <c r="M11" i="26"/>
  <c r="N9" i="26"/>
  <c r="M9" i="26"/>
  <c r="N8" i="26"/>
  <c r="M8" i="26"/>
  <c r="H42" i="25"/>
  <c r="D42" i="25"/>
  <c r="E42" i="25" s="1"/>
  <c r="A42" i="25"/>
  <c r="A47" i="25" s="1"/>
  <c r="B41" i="25"/>
  <c r="C25" i="25"/>
  <c r="C26" i="25" s="1"/>
  <c r="C18" i="25"/>
  <c r="C20" i="25" s="1"/>
  <c r="C6" i="25"/>
  <c r="F69" i="24"/>
  <c r="G68" i="24"/>
  <c r="G67" i="24"/>
  <c r="E59" i="24"/>
  <c r="D59" i="24"/>
  <c r="E58" i="24"/>
  <c r="D58" i="24"/>
  <c r="E57" i="24"/>
  <c r="G57" i="24" s="1"/>
  <c r="E54" i="24"/>
  <c r="E52" i="24"/>
  <c r="D52" i="24"/>
  <c r="D51" i="24"/>
  <c r="E50" i="24"/>
  <c r="D50" i="24"/>
  <c r="E49" i="24"/>
  <c r="D49" i="24" s="1"/>
  <c r="E46" i="24"/>
  <c r="D45" i="24"/>
  <c r="E45" i="24" s="1"/>
  <c r="E44" i="24"/>
  <c r="D44" i="24"/>
  <c r="G37" i="24"/>
  <c r="G36" i="24" s="1"/>
  <c r="F36" i="24"/>
  <c r="E36" i="24"/>
  <c r="E33" i="24"/>
  <c r="G33" i="24" s="1"/>
  <c r="D32" i="24"/>
  <c r="E32" i="24" s="1"/>
  <c r="F31" i="24"/>
  <c r="E30" i="24"/>
  <c r="G30" i="24" s="1"/>
  <c r="D30" i="24"/>
  <c r="F29" i="24"/>
  <c r="F25" i="24"/>
  <c r="C19" i="24"/>
  <c r="E19" i="24" s="1"/>
  <c r="G19" i="24" s="1"/>
  <c r="C18" i="24"/>
  <c r="C17" i="24" s="1"/>
  <c r="A17" i="24"/>
  <c r="G15" i="24"/>
  <c r="A15" i="24"/>
  <c r="M31" i="23"/>
  <c r="C31" i="23"/>
  <c r="B31" i="23"/>
  <c r="A31" i="23"/>
  <c r="C30" i="23"/>
  <c r="B30" i="23"/>
  <c r="A30" i="23"/>
  <c r="C29" i="23"/>
  <c r="B29" i="23"/>
  <c r="A29" i="23"/>
  <c r="G28" i="23"/>
  <c r="H28" i="23" s="1"/>
  <c r="C28" i="23"/>
  <c r="B28" i="23"/>
  <c r="N28" i="23" s="1"/>
  <c r="A28" i="23"/>
  <c r="M27" i="23"/>
  <c r="G27" i="23"/>
  <c r="H27" i="23" s="1"/>
  <c r="C27" i="23"/>
  <c r="B27" i="23"/>
  <c r="N27" i="23" s="1"/>
  <c r="A27" i="23"/>
  <c r="C26" i="23"/>
  <c r="B26" i="23"/>
  <c r="A26" i="23"/>
  <c r="N20" i="23"/>
  <c r="M20" i="23"/>
  <c r="O20" i="23" s="1"/>
  <c r="N19" i="23"/>
  <c r="M19" i="23"/>
  <c r="O17" i="23"/>
  <c r="N17" i="23"/>
  <c r="M17" i="23"/>
  <c r="N16" i="23"/>
  <c r="M16" i="23"/>
  <c r="O16" i="23" s="1"/>
  <c r="N14" i="23"/>
  <c r="M14" i="23"/>
  <c r="O14" i="23" s="1"/>
  <c r="N13" i="23"/>
  <c r="O13" i="23" s="1"/>
  <c r="M13" i="23"/>
  <c r="N11" i="23"/>
  <c r="M11" i="23"/>
  <c r="N9" i="23"/>
  <c r="M9" i="23"/>
  <c r="M23" i="23" s="1"/>
  <c r="O8" i="23"/>
  <c r="N8" i="23"/>
  <c r="N23" i="23" s="1"/>
  <c r="M8" i="23"/>
  <c r="A47" i="22"/>
  <c r="H42" i="22"/>
  <c r="E42" i="22"/>
  <c r="D42" i="22"/>
  <c r="A42" i="22"/>
  <c r="B41" i="22"/>
  <c r="C25" i="22"/>
  <c r="C20" i="22"/>
  <c r="C19" i="22"/>
  <c r="C18" i="22"/>
  <c r="C6" i="22"/>
  <c r="C6" i="15"/>
  <c r="D59" i="17"/>
  <c r="D58" i="17"/>
  <c r="E49" i="17"/>
  <c r="D45" i="17"/>
  <c r="D25" i="24" l="1"/>
  <c r="D56" i="27"/>
  <c r="C23" i="19"/>
  <c r="M109" i="1"/>
  <c r="D48" i="27"/>
  <c r="C20" i="19"/>
  <c r="M87" i="1"/>
  <c r="C21" i="19"/>
  <c r="M107" i="1"/>
  <c r="E56" i="24"/>
  <c r="D25" i="17"/>
  <c r="O19" i="23"/>
  <c r="O13" i="26"/>
  <c r="O19" i="26"/>
  <c r="O9" i="23"/>
  <c r="O23" i="23" s="1"/>
  <c r="O11" i="23"/>
  <c r="E31" i="27"/>
  <c r="M23" i="26"/>
  <c r="Q11" i="1"/>
  <c r="R11" i="1" s="1"/>
  <c r="D25" i="27"/>
  <c r="D36" i="27"/>
  <c r="M94" i="1"/>
  <c r="D36" i="24"/>
  <c r="I94" i="1"/>
  <c r="G29" i="26"/>
  <c r="H29" i="26" s="1"/>
  <c r="G31" i="26"/>
  <c r="N31" i="23"/>
  <c r="I19" i="1" s="1"/>
  <c r="J19" i="1" s="1"/>
  <c r="K19" i="1" s="1"/>
  <c r="L19" i="1" s="1"/>
  <c r="N29" i="23"/>
  <c r="I15" i="1" s="1"/>
  <c r="J15" i="1" s="1"/>
  <c r="K15" i="1" s="1"/>
  <c r="L15" i="1" s="1"/>
  <c r="G29" i="23"/>
  <c r="H29" i="23" s="1"/>
  <c r="G31" i="23"/>
  <c r="H31" i="23" s="1"/>
  <c r="O9" i="26"/>
  <c r="O20" i="26"/>
  <c r="O11" i="26"/>
  <c r="O17" i="26"/>
  <c r="O8" i="26"/>
  <c r="O14" i="26"/>
  <c r="M31" i="26"/>
  <c r="H27" i="26"/>
  <c r="S28" i="16"/>
  <c r="S27" i="16"/>
  <c r="G30" i="27"/>
  <c r="E29" i="27"/>
  <c r="E43" i="27"/>
  <c r="G17" i="27"/>
  <c r="N23" i="26"/>
  <c r="G57" i="27"/>
  <c r="E18" i="27"/>
  <c r="E26" i="27"/>
  <c r="G32" i="27"/>
  <c r="M27" i="26"/>
  <c r="M28" i="26"/>
  <c r="O28" i="26" s="1"/>
  <c r="C19" i="25"/>
  <c r="E31" i="24"/>
  <c r="G32" i="24"/>
  <c r="G17" i="24"/>
  <c r="G29" i="24"/>
  <c r="G59" i="24"/>
  <c r="E18" i="24"/>
  <c r="E26" i="24"/>
  <c r="E29" i="24"/>
  <c r="E48" i="24"/>
  <c r="C26" i="22"/>
  <c r="M28" i="23"/>
  <c r="O28" i="23" s="1"/>
  <c r="E43" i="24"/>
  <c r="O27" i="23"/>
  <c r="M29" i="23"/>
  <c r="O29" i="23" s="1"/>
  <c r="D44" i="17"/>
  <c r="B53" i="14"/>
  <c r="B51" i="14"/>
  <c r="B54" i="14"/>
  <c r="B52" i="14"/>
  <c r="D58" i="14"/>
  <c r="C50" i="14"/>
  <c r="D50" i="14"/>
  <c r="C53" i="14"/>
  <c r="D62" i="14"/>
  <c r="D60" i="14"/>
  <c r="D59" i="14"/>
  <c r="D56" i="14"/>
  <c r="D55" i="14"/>
  <c r="D53" i="14"/>
  <c r="D51" i="14"/>
  <c r="T74" i="18"/>
  <c r="C2" i="21"/>
  <c r="A2" i="21"/>
  <c r="D7" i="21"/>
  <c r="D4" i="21"/>
  <c r="A5" i="21"/>
  <c r="A6" i="21"/>
  <c r="A7" i="21"/>
  <c r="A4" i="21"/>
  <c r="A52" i="18"/>
  <c r="A51" i="18"/>
  <c r="A50" i="18"/>
  <c r="A49" i="18"/>
  <c r="A48" i="18"/>
  <c r="A47" i="18"/>
  <c r="A46" i="18"/>
  <c r="A45" i="18"/>
  <c r="A44" i="18"/>
  <c r="A43" i="18"/>
  <c r="A42" i="18"/>
  <c r="A34" i="18"/>
  <c r="A32" i="18"/>
  <c r="A30" i="18"/>
  <c r="B94" i="1"/>
  <c r="D43" i="27" l="1"/>
  <c r="C19" i="19"/>
  <c r="M86" i="1"/>
  <c r="D29" i="27"/>
  <c r="C16" i="19"/>
  <c r="M106" i="1"/>
  <c r="D56" i="24"/>
  <c r="I109" i="1"/>
  <c r="D48" i="24"/>
  <c r="I87" i="1"/>
  <c r="D43" i="24"/>
  <c r="I86" i="1"/>
  <c r="D29" i="24"/>
  <c r="I106" i="1"/>
  <c r="O23" i="26"/>
  <c r="N29" i="26"/>
  <c r="M15" i="1" s="1"/>
  <c r="N15" i="1" s="1"/>
  <c r="O15" i="1" s="1"/>
  <c r="P15" i="1" s="1"/>
  <c r="Q15" i="1" s="1"/>
  <c r="R15" i="1" s="1"/>
  <c r="N31" i="26"/>
  <c r="M19" i="1" s="1"/>
  <c r="N19" i="1" s="1"/>
  <c r="O19" i="1" s="1"/>
  <c r="P19" i="1" s="1"/>
  <c r="Q19" i="1" s="1"/>
  <c r="R19" i="1" s="1"/>
  <c r="D31" i="27"/>
  <c r="C17" i="19"/>
  <c r="M85" i="1"/>
  <c r="D31" i="24"/>
  <c r="I85" i="1"/>
  <c r="O29" i="26"/>
  <c r="H33" i="23"/>
  <c r="I27" i="23" s="1"/>
  <c r="N33" i="23"/>
  <c r="C33" i="22" s="1"/>
  <c r="H31" i="26"/>
  <c r="H33" i="26" s="1"/>
  <c r="C6" i="19" s="1"/>
  <c r="G33" i="26"/>
  <c r="B6" i="19" s="1"/>
  <c r="O31" i="26"/>
  <c r="G33" i="23"/>
  <c r="O31" i="23"/>
  <c r="O33" i="23" s="1"/>
  <c r="D25" i="22"/>
  <c r="D26" i="22" s="1"/>
  <c r="G14" i="27"/>
  <c r="M33" i="26"/>
  <c r="O27" i="26"/>
  <c r="G31" i="27"/>
  <c r="E25" i="27"/>
  <c r="C15" i="19" s="1"/>
  <c r="G26" i="27"/>
  <c r="E17" i="27"/>
  <c r="F18" i="27"/>
  <c r="F17" i="27" s="1"/>
  <c r="G29" i="27"/>
  <c r="E25" i="24"/>
  <c r="G26" i="24"/>
  <c r="M33" i="23"/>
  <c r="E17" i="24"/>
  <c r="F18" i="24"/>
  <c r="F17" i="24" s="1"/>
  <c r="C37" i="22"/>
  <c r="C47" i="22"/>
  <c r="C49" i="22" s="1"/>
  <c r="G14" i="24"/>
  <c r="G31" i="24"/>
  <c r="D28" i="2"/>
  <c r="F39" i="2"/>
  <c r="F31" i="2"/>
  <c r="V13" i="18"/>
  <c r="V14" i="18"/>
  <c r="W14" i="18"/>
  <c r="V15" i="18"/>
  <c r="W15" i="18"/>
  <c r="V16" i="18"/>
  <c r="W16" i="18"/>
  <c r="X16" i="18"/>
  <c r="E56" i="18"/>
  <c r="F56" i="18"/>
  <c r="B32" i="18"/>
  <c r="G32" i="18" s="1"/>
  <c r="H32" i="18" s="1"/>
  <c r="I32" i="18" s="1"/>
  <c r="H31" i="18"/>
  <c r="I31" i="18"/>
  <c r="V31" i="18" s="1"/>
  <c r="J31" i="18"/>
  <c r="K31" i="18"/>
  <c r="W31" i="18" s="1"/>
  <c r="L31" i="18"/>
  <c r="M31" i="18"/>
  <c r="N31" i="18"/>
  <c r="O31" i="18"/>
  <c r="G31" i="18"/>
  <c r="J18" i="20"/>
  <c r="J16" i="20"/>
  <c r="C21" i="20"/>
  <c r="D21" i="20" s="1"/>
  <c r="E21" i="20" s="1"/>
  <c r="F21" i="20" s="1"/>
  <c r="B21" i="20"/>
  <c r="A13" i="20"/>
  <c r="L9" i="20"/>
  <c r="L7" i="20"/>
  <c r="I28" i="23" l="1"/>
  <c r="I31" i="23"/>
  <c r="N34" i="23"/>
  <c r="C28" i="21" s="1"/>
  <c r="F35" i="21" s="1"/>
  <c r="I29" i="23"/>
  <c r="N33" i="26"/>
  <c r="D25" i="25" s="1"/>
  <c r="D26" i="25" s="1"/>
  <c r="O33" i="26"/>
  <c r="D33" i="25" s="1"/>
  <c r="G33" i="18"/>
  <c r="L38" i="18" s="1"/>
  <c r="I31" i="26"/>
  <c r="I29" i="26"/>
  <c r="I28" i="26"/>
  <c r="I27" i="26"/>
  <c r="E25" i="25"/>
  <c r="E26" i="25" s="1"/>
  <c r="G25" i="27"/>
  <c r="D33" i="22"/>
  <c r="O34" i="23"/>
  <c r="E25" i="22"/>
  <c r="C22" i="24"/>
  <c r="C21" i="24"/>
  <c r="G25" i="24"/>
  <c r="H33" i="18"/>
  <c r="A62" i="18"/>
  <c r="A61" i="18"/>
  <c r="O39" i="18"/>
  <c r="J37" i="18"/>
  <c r="J32" i="18"/>
  <c r="I33" i="18"/>
  <c r="P31" i="18"/>
  <c r="X31" i="18" s="1"/>
  <c r="G34" i="18"/>
  <c r="Q40" i="18"/>
  <c r="B33" i="19"/>
  <c r="A7" i="19"/>
  <c r="A6" i="19"/>
  <c r="B32" i="19"/>
  <c r="G67" i="17"/>
  <c r="F69" i="17"/>
  <c r="G68" i="17"/>
  <c r="E59" i="17"/>
  <c r="G59" i="17" s="1"/>
  <c r="E58" i="17"/>
  <c r="E57" i="17"/>
  <c r="E52" i="17"/>
  <c r="D52" i="17"/>
  <c r="D51" i="17"/>
  <c r="E50" i="17"/>
  <c r="D50" i="17" s="1"/>
  <c r="D49" i="17"/>
  <c r="E46" i="17"/>
  <c r="E45" i="17"/>
  <c r="E44" i="17"/>
  <c r="G37" i="17"/>
  <c r="G36" i="17" s="1"/>
  <c r="F36" i="17"/>
  <c r="E36" i="17"/>
  <c r="E33" i="17"/>
  <c r="G33" i="17" s="1"/>
  <c r="E32" i="17"/>
  <c r="F31" i="17"/>
  <c r="E30" i="17"/>
  <c r="G30" i="17" s="1"/>
  <c r="F29" i="17"/>
  <c r="E27" i="17"/>
  <c r="G27" i="17" s="1"/>
  <c r="F25" i="17"/>
  <c r="A17" i="17"/>
  <c r="G15" i="17"/>
  <c r="A15" i="17"/>
  <c r="C31" i="16"/>
  <c r="A31" i="16"/>
  <c r="A30" i="16"/>
  <c r="C29" i="16"/>
  <c r="A29" i="16"/>
  <c r="C28" i="16"/>
  <c r="A28" i="16"/>
  <c r="C27" i="16"/>
  <c r="A27" i="16"/>
  <c r="A26" i="16"/>
  <c r="O34" i="26" l="1"/>
  <c r="C33" i="25"/>
  <c r="C47" i="25" s="1"/>
  <c r="C49" i="25" s="1"/>
  <c r="C21" i="27" s="1"/>
  <c r="N34" i="26"/>
  <c r="D28" i="21" s="1"/>
  <c r="H35" i="21" s="1"/>
  <c r="C37" i="25"/>
  <c r="E33" i="25"/>
  <c r="E34" i="25" s="1"/>
  <c r="Q39" i="18"/>
  <c r="P39" i="18"/>
  <c r="G36" i="18"/>
  <c r="M38" i="18"/>
  <c r="R40" i="18"/>
  <c r="K37" i="18"/>
  <c r="H36" i="18"/>
  <c r="G25" i="25"/>
  <c r="G26" i="25" s="1"/>
  <c r="C20" i="24"/>
  <c r="E20" i="24" s="1"/>
  <c r="I84" i="1" s="1"/>
  <c r="E37" i="25"/>
  <c r="E38" i="25" s="1"/>
  <c r="C22" i="27"/>
  <c r="D37" i="25"/>
  <c r="E26" i="22"/>
  <c r="G25" i="22"/>
  <c r="G26" i="22" s="1"/>
  <c r="D37" i="22"/>
  <c r="E33" i="22"/>
  <c r="D34" i="22" s="1"/>
  <c r="E8" i="24" s="1"/>
  <c r="G8" i="24" s="1"/>
  <c r="E31" i="17"/>
  <c r="E48" i="17"/>
  <c r="B18" i="19"/>
  <c r="D36" i="17"/>
  <c r="E56" i="17"/>
  <c r="G32" i="17"/>
  <c r="G31" i="17" s="1"/>
  <c r="E26" i="17"/>
  <c r="G26" i="17" s="1"/>
  <c r="G25" i="17" s="1"/>
  <c r="G57" i="17"/>
  <c r="E29" i="17"/>
  <c r="N38" i="18"/>
  <c r="K32" i="18"/>
  <c r="J33" i="18"/>
  <c r="O38" i="18" s="1"/>
  <c r="L37" i="18"/>
  <c r="I36" i="18"/>
  <c r="Q31" i="18"/>
  <c r="S40" i="18"/>
  <c r="H34" i="18"/>
  <c r="H66" i="18" s="1"/>
  <c r="G30" i="18"/>
  <c r="X15" i="18"/>
  <c r="W13" i="18"/>
  <c r="V12" i="18"/>
  <c r="Y16" i="18"/>
  <c r="G29" i="17"/>
  <c r="E43" i="17"/>
  <c r="G31" i="16"/>
  <c r="H31" i="16" s="1"/>
  <c r="G29" i="16"/>
  <c r="H29" i="16" s="1"/>
  <c r="G28" i="16"/>
  <c r="H28" i="16" s="1"/>
  <c r="G27" i="16"/>
  <c r="H27" i="16" s="1"/>
  <c r="N20" i="16"/>
  <c r="M20" i="16"/>
  <c r="N19" i="16"/>
  <c r="N17" i="16"/>
  <c r="M17" i="16"/>
  <c r="N16" i="16"/>
  <c r="M16" i="16"/>
  <c r="N14" i="16"/>
  <c r="M13" i="16"/>
  <c r="N13" i="16"/>
  <c r="M9" i="16"/>
  <c r="N9" i="16"/>
  <c r="M8" i="16"/>
  <c r="N8" i="16"/>
  <c r="H42" i="15"/>
  <c r="D42" i="15"/>
  <c r="E42" i="15" s="1"/>
  <c r="A42" i="15"/>
  <c r="A47" i="15" s="1"/>
  <c r="B41" i="15"/>
  <c r="C18" i="15"/>
  <c r="C20" i="15" s="1"/>
  <c r="C62" i="14"/>
  <c r="B31" i="16" s="1"/>
  <c r="N31" i="16" s="1"/>
  <c r="H19" i="1" s="1"/>
  <c r="C60" i="14"/>
  <c r="B60" i="14" s="1"/>
  <c r="C59" i="14"/>
  <c r="B59" i="14" s="1"/>
  <c r="C30" i="16"/>
  <c r="C56" i="14"/>
  <c r="B29" i="16" s="1"/>
  <c r="M29" i="16" s="1"/>
  <c r="B56" i="14"/>
  <c r="C55" i="14"/>
  <c r="B55" i="14"/>
  <c r="B28" i="16"/>
  <c r="N28" i="16" s="1"/>
  <c r="C51" i="14"/>
  <c r="D42" i="14"/>
  <c r="C42" i="14"/>
  <c r="D39" i="14"/>
  <c r="C39" i="14"/>
  <c r="D38" i="14"/>
  <c r="C38" i="14"/>
  <c r="D37" i="14"/>
  <c r="D29" i="14"/>
  <c r="C29" i="14"/>
  <c r="B39" i="14"/>
  <c r="D24" i="14"/>
  <c r="C24" i="14"/>
  <c r="D19" i="14"/>
  <c r="C19" i="14"/>
  <c r="C14" i="14"/>
  <c r="C37" i="14"/>
  <c r="D10" i="14"/>
  <c r="D5" i="14"/>
  <c r="C5" i="14"/>
  <c r="D48" i="17" l="1"/>
  <c r="C34" i="25"/>
  <c r="D34" i="25"/>
  <c r="E8" i="27" s="1"/>
  <c r="G8" i="27" s="1"/>
  <c r="B17" i="19"/>
  <c r="G45" i="18"/>
  <c r="G44" i="18"/>
  <c r="G43" i="18"/>
  <c r="G46" i="18"/>
  <c r="G47" i="18" s="1"/>
  <c r="G42" i="18"/>
  <c r="I46" i="18"/>
  <c r="I43" i="18"/>
  <c r="I44" i="18"/>
  <c r="I42" i="18"/>
  <c r="I45" i="18"/>
  <c r="H44" i="18"/>
  <c r="H46" i="18"/>
  <c r="H42" i="18"/>
  <c r="H43" i="18"/>
  <c r="H45" i="18"/>
  <c r="H62" i="18" s="1"/>
  <c r="M37" i="18"/>
  <c r="C20" i="27"/>
  <c r="E20" i="27" s="1"/>
  <c r="M84" i="1" s="1"/>
  <c r="C38" i="25"/>
  <c r="F50" i="27" s="1"/>
  <c r="D38" i="25"/>
  <c r="G58" i="27" s="1"/>
  <c r="C16" i="27"/>
  <c r="E37" i="22"/>
  <c r="E34" i="22"/>
  <c r="C34" i="22"/>
  <c r="B62" i="14"/>
  <c r="B58" i="14" s="1"/>
  <c r="D31" i="17"/>
  <c r="B5" i="14"/>
  <c r="M28" i="16"/>
  <c r="O28" i="16" s="1"/>
  <c r="B38" i="14"/>
  <c r="B20" i="19"/>
  <c r="N29" i="16"/>
  <c r="B37" i="14"/>
  <c r="D43" i="14"/>
  <c r="H64" i="14"/>
  <c r="B23" i="19"/>
  <c r="D56" i="17"/>
  <c r="B24" i="14"/>
  <c r="D64" i="14"/>
  <c r="C26" i="16"/>
  <c r="B19" i="19"/>
  <c r="D43" i="17"/>
  <c r="B26" i="16"/>
  <c r="B27" i="16"/>
  <c r="N27" i="16" s="1"/>
  <c r="G65" i="18"/>
  <c r="C10" i="14"/>
  <c r="C36" i="14" s="1"/>
  <c r="B14" i="14"/>
  <c r="O20" i="16"/>
  <c r="D36" i="14"/>
  <c r="B29" i="14"/>
  <c r="O16" i="16"/>
  <c r="E25" i="17"/>
  <c r="B15" i="19" s="1"/>
  <c r="B16" i="19"/>
  <c r="D29" i="17"/>
  <c r="I62" i="18"/>
  <c r="G61" i="18"/>
  <c r="G62" i="18"/>
  <c r="R39" i="18"/>
  <c r="J36" i="18"/>
  <c r="J65" i="18"/>
  <c r="H65" i="18"/>
  <c r="H64" i="18" s="1"/>
  <c r="R31" i="18"/>
  <c r="L32" i="18"/>
  <c r="K33" i="18"/>
  <c r="K36" i="18" s="1"/>
  <c r="I34" i="18"/>
  <c r="H30" i="18"/>
  <c r="H61" i="18"/>
  <c r="I61" i="18"/>
  <c r="V18" i="18"/>
  <c r="J61" i="18"/>
  <c r="O8" i="16"/>
  <c r="O17" i="16"/>
  <c r="O13" i="16"/>
  <c r="O9" i="16"/>
  <c r="G33" i="16"/>
  <c r="M31" i="16"/>
  <c r="O31" i="16" s="1"/>
  <c r="M14" i="16"/>
  <c r="O14" i="16" s="1"/>
  <c r="M19" i="16"/>
  <c r="O19" i="16" s="1"/>
  <c r="C19" i="15"/>
  <c r="E42" i="14"/>
  <c r="C43" i="14"/>
  <c r="E43" i="14" s="1"/>
  <c r="B19" i="14"/>
  <c r="C58" i="14"/>
  <c r="B42" i="14"/>
  <c r="G51" i="18" l="1"/>
  <c r="N37" i="18"/>
  <c r="H51" i="18"/>
  <c r="G52" i="18"/>
  <c r="I47" i="18"/>
  <c r="I48" i="18"/>
  <c r="I50" i="18" s="1"/>
  <c r="I49" i="18" s="1"/>
  <c r="J43" i="18"/>
  <c r="J45" i="18"/>
  <c r="J62" i="18" s="1"/>
  <c r="J60" i="18" s="1"/>
  <c r="J46" i="18"/>
  <c r="J42" i="18"/>
  <c r="J44" i="18"/>
  <c r="H48" i="18"/>
  <c r="H50" i="18" s="1"/>
  <c r="H49" i="18" s="1"/>
  <c r="H47" i="18"/>
  <c r="K43" i="18"/>
  <c r="K46" i="18"/>
  <c r="K44" i="18"/>
  <c r="K42" i="18"/>
  <c r="K45" i="18"/>
  <c r="I51" i="18"/>
  <c r="I58" i="18" s="1"/>
  <c r="B43" i="14"/>
  <c r="G52" i="27"/>
  <c r="G45" i="27"/>
  <c r="G44" i="27"/>
  <c r="G49" i="27"/>
  <c r="G51" i="27"/>
  <c r="G54" i="27"/>
  <c r="G50" i="27"/>
  <c r="F51" i="27"/>
  <c r="F49" i="27"/>
  <c r="F45" i="27"/>
  <c r="F54" i="27"/>
  <c r="H44" i="26" s="1"/>
  <c r="G44" i="26" s="1"/>
  <c r="F44" i="27"/>
  <c r="G20" i="27"/>
  <c r="F58" i="27"/>
  <c r="F56" i="27" s="1"/>
  <c r="H45" i="26" s="1"/>
  <c r="G45" i="26" s="1"/>
  <c r="F52" i="27"/>
  <c r="F20" i="27"/>
  <c r="H41" i="26" s="1"/>
  <c r="O29" i="16"/>
  <c r="H15" i="1"/>
  <c r="C15" i="27"/>
  <c r="C14" i="27" s="1"/>
  <c r="E16" i="27"/>
  <c r="E7" i="27"/>
  <c r="C6" i="27"/>
  <c r="G56" i="27"/>
  <c r="E38" i="22"/>
  <c r="C38" i="22"/>
  <c r="C16" i="24"/>
  <c r="D38" i="22"/>
  <c r="G60" i="18"/>
  <c r="N33" i="16"/>
  <c r="D25" i="15" s="1"/>
  <c r="B50" i="14"/>
  <c r="B64" i="14" s="1"/>
  <c r="C64" i="14"/>
  <c r="C25" i="15" s="1"/>
  <c r="C26" i="15" s="1"/>
  <c r="B30" i="16"/>
  <c r="M27" i="16"/>
  <c r="O27" i="16" s="1"/>
  <c r="E37" i="14"/>
  <c r="N11" i="16"/>
  <c r="N23" i="16" s="1"/>
  <c r="M11" i="16"/>
  <c r="M23" i="16" s="1"/>
  <c r="E38" i="14"/>
  <c r="B10" i="14"/>
  <c r="B36" i="14" s="1"/>
  <c r="I66" i="18"/>
  <c r="V34" i="18"/>
  <c r="H58" i="18"/>
  <c r="P38" i="18"/>
  <c r="M32" i="18"/>
  <c r="L33" i="18"/>
  <c r="I60" i="18"/>
  <c r="S31" i="18"/>
  <c r="Y31" i="18" s="1"/>
  <c r="H60" i="18"/>
  <c r="V10" i="18"/>
  <c r="I65" i="18"/>
  <c r="J34" i="18"/>
  <c r="J66" i="18" s="1"/>
  <c r="J64" i="18" s="1"/>
  <c r="I30" i="18"/>
  <c r="W12" i="18"/>
  <c r="X14" i="18"/>
  <c r="H33" i="16"/>
  <c r="H52" i="18" l="1"/>
  <c r="J51" i="18"/>
  <c r="J58" i="18" s="1"/>
  <c r="K51" i="18"/>
  <c r="K48" i="18"/>
  <c r="K47" i="18"/>
  <c r="K52" i="18" s="1"/>
  <c r="I52" i="18"/>
  <c r="J48" i="18"/>
  <c r="J50" i="18" s="1"/>
  <c r="J49" i="18" s="1"/>
  <c r="J47" i="18"/>
  <c r="J52" i="18" s="1"/>
  <c r="T31" i="18"/>
  <c r="C10" i="27"/>
  <c r="C11" i="24"/>
  <c r="E11" i="24" s="1"/>
  <c r="G11" i="24" s="1"/>
  <c r="C10" i="24"/>
  <c r="C11" i="27"/>
  <c r="E11" i="27" s="1"/>
  <c r="G11" i="27" s="1"/>
  <c r="G43" i="27"/>
  <c r="G48" i="27"/>
  <c r="F43" i="27"/>
  <c r="H42" i="26" s="1"/>
  <c r="G42" i="26" s="1"/>
  <c r="F48" i="27"/>
  <c r="H43" i="26" s="1"/>
  <c r="G43" i="26" s="1"/>
  <c r="O33" i="16"/>
  <c r="F7" i="27"/>
  <c r="F6" i="27" s="1"/>
  <c r="E6" i="27"/>
  <c r="G41" i="26"/>
  <c r="F16" i="27"/>
  <c r="F15" i="27" s="1"/>
  <c r="F14" i="27" s="1"/>
  <c r="E15" i="27"/>
  <c r="E14" i="27" s="1"/>
  <c r="M83" i="1" s="1"/>
  <c r="E7" i="24"/>
  <c r="C6" i="24"/>
  <c r="G52" i="24"/>
  <c r="G54" i="24"/>
  <c r="G51" i="24"/>
  <c r="G50" i="24"/>
  <c r="G45" i="24"/>
  <c r="G58" i="24"/>
  <c r="G44" i="24"/>
  <c r="G49" i="24"/>
  <c r="G20" i="24"/>
  <c r="F52" i="24"/>
  <c r="F54" i="24"/>
  <c r="H44" i="23" s="1"/>
  <c r="F51" i="24"/>
  <c r="F49" i="24"/>
  <c r="F50" i="24"/>
  <c r="F45" i="24"/>
  <c r="F44" i="24"/>
  <c r="F58" i="24"/>
  <c r="F56" i="24" s="1"/>
  <c r="H45" i="23" s="1"/>
  <c r="F20" i="24"/>
  <c r="C15" i="24"/>
  <c r="C14" i="24" s="1"/>
  <c r="E16" i="24"/>
  <c r="O11" i="16"/>
  <c r="O23" i="16" s="1"/>
  <c r="M33" i="16"/>
  <c r="N34" i="16" s="1"/>
  <c r="B28" i="21" s="1"/>
  <c r="D35" i="21" s="1"/>
  <c r="I64" i="18"/>
  <c r="G56" i="18"/>
  <c r="L36" i="18"/>
  <c r="S39" i="18"/>
  <c r="N32" i="18"/>
  <c r="M33" i="18"/>
  <c r="M36" i="18" s="1"/>
  <c r="Q38" i="18"/>
  <c r="O37" i="18"/>
  <c r="W10" i="18"/>
  <c r="K65" i="18"/>
  <c r="J30" i="18"/>
  <c r="K34" i="18"/>
  <c r="L61" i="18"/>
  <c r="W18" i="18"/>
  <c r="K61" i="18"/>
  <c r="Y15" i="18"/>
  <c r="L65" i="18"/>
  <c r="X13" i="18"/>
  <c r="I28" i="16"/>
  <c r="I29" i="16"/>
  <c r="I27" i="16"/>
  <c r="I31" i="16"/>
  <c r="M42" i="18" l="1"/>
  <c r="M45" i="18"/>
  <c r="M44" i="18"/>
  <c r="M43" i="18"/>
  <c r="M46" i="18"/>
  <c r="K50" i="18"/>
  <c r="K49" i="18"/>
  <c r="L45" i="18"/>
  <c r="L62" i="18" s="1"/>
  <c r="L60" i="18" s="1"/>
  <c r="L43" i="18"/>
  <c r="L44" i="18"/>
  <c r="L46" i="18"/>
  <c r="L42" i="18"/>
  <c r="L51" i="18" s="1"/>
  <c r="L58" i="18" s="1"/>
  <c r="C9" i="24"/>
  <c r="C5" i="24" s="1"/>
  <c r="E10" i="24"/>
  <c r="C9" i="27"/>
  <c r="C5" i="27" s="1"/>
  <c r="E10" i="27"/>
  <c r="F43" i="24"/>
  <c r="H42" i="23" s="1"/>
  <c r="G42" i="23" s="1"/>
  <c r="H40" i="26"/>
  <c r="G7" i="27"/>
  <c r="G6" i="27"/>
  <c r="G44" i="23"/>
  <c r="H41" i="23"/>
  <c r="F48" i="24"/>
  <c r="H43" i="23" s="1"/>
  <c r="G45" i="23"/>
  <c r="E15" i="24"/>
  <c r="E14" i="24" s="1"/>
  <c r="I83" i="1" s="1"/>
  <c r="F16" i="24"/>
  <c r="F15" i="24" s="1"/>
  <c r="F14" i="24" s="1"/>
  <c r="H40" i="23" s="1"/>
  <c r="G56" i="24"/>
  <c r="G48" i="24"/>
  <c r="G43" i="24"/>
  <c r="F7" i="24"/>
  <c r="F6" i="24" s="1"/>
  <c r="E6" i="24"/>
  <c r="O34" i="16"/>
  <c r="K66" i="18"/>
  <c r="K64" i="18" s="1"/>
  <c r="W34" i="18"/>
  <c r="K58" i="18"/>
  <c r="G6" i="19"/>
  <c r="R38" i="18"/>
  <c r="O32" i="18"/>
  <c r="N33" i="18"/>
  <c r="Q37" i="18" s="1"/>
  <c r="K62" i="18"/>
  <c r="K60" i="18" s="1"/>
  <c r="P37" i="18"/>
  <c r="L34" i="18"/>
  <c r="L66" i="18" s="1"/>
  <c r="L64" i="18" s="1"/>
  <c r="K30" i="18"/>
  <c r="M65" i="18"/>
  <c r="M48" i="18" l="1"/>
  <c r="M50" i="18" s="1"/>
  <c r="M49" i="18" s="1"/>
  <c r="M47" i="18"/>
  <c r="L47" i="18"/>
  <c r="L48" i="18"/>
  <c r="L50" i="18" s="1"/>
  <c r="L49" i="18" s="1"/>
  <c r="M51" i="18"/>
  <c r="F10" i="24"/>
  <c r="F9" i="24" s="1"/>
  <c r="F5" i="24" s="1"/>
  <c r="E9" i="24"/>
  <c r="E5" i="24" s="1"/>
  <c r="E4" i="24" s="1"/>
  <c r="F10" i="27"/>
  <c r="F9" i="27" s="1"/>
  <c r="F5" i="27" s="1"/>
  <c r="E9" i="27"/>
  <c r="E5" i="27" s="1"/>
  <c r="E4" i="27" s="1"/>
  <c r="G7" i="24"/>
  <c r="G40" i="26"/>
  <c r="G43" i="23"/>
  <c r="G40" i="23"/>
  <c r="G41" i="23"/>
  <c r="G6" i="24"/>
  <c r="N36" i="18"/>
  <c r="P32" i="18"/>
  <c r="O33" i="18"/>
  <c r="R37" i="18" s="1"/>
  <c r="S38" i="18"/>
  <c r="L30" i="18"/>
  <c r="M34" i="18"/>
  <c r="M66" i="18" s="1"/>
  <c r="M64" i="18" s="1"/>
  <c r="M61" i="18"/>
  <c r="Y14" i="18"/>
  <c r="N65" i="18"/>
  <c r="A66" i="18"/>
  <c r="A65" i="18"/>
  <c r="W45" i="18"/>
  <c r="V45" i="18"/>
  <c r="G66" i="18"/>
  <c r="G64" i="18" s="1"/>
  <c r="AC110" i="18"/>
  <c r="AC109" i="18" s="1"/>
  <c r="AA109" i="18"/>
  <c r="AA107" i="18"/>
  <c r="AA108" i="18" s="1"/>
  <c r="AA106" i="18"/>
  <c r="AC106" i="18" s="1"/>
  <c r="AB105" i="18"/>
  <c r="Z105" i="18"/>
  <c r="F84" i="18"/>
  <c r="S75" i="18"/>
  <c r="R75" i="18"/>
  <c r="Q75" i="18"/>
  <c r="P75" i="18"/>
  <c r="O75" i="18"/>
  <c r="N75" i="18"/>
  <c r="M75" i="18"/>
  <c r="L75" i="18"/>
  <c r="K75" i="18"/>
  <c r="J75" i="18"/>
  <c r="I75" i="18"/>
  <c r="H75" i="18"/>
  <c r="S74" i="18"/>
  <c r="R74" i="18"/>
  <c r="Q74" i="18"/>
  <c r="P74" i="18"/>
  <c r="O74" i="18"/>
  <c r="N74" i="18"/>
  <c r="M74" i="18"/>
  <c r="L74" i="18"/>
  <c r="K74" i="18"/>
  <c r="J74" i="18"/>
  <c r="I74" i="18"/>
  <c r="H74" i="18"/>
  <c r="G74" i="18"/>
  <c r="F74" i="18"/>
  <c r="E74" i="18"/>
  <c r="S2" i="18"/>
  <c r="R2" i="18"/>
  <c r="Q2" i="18"/>
  <c r="P2" i="18"/>
  <c r="O2" i="18"/>
  <c r="N2" i="18"/>
  <c r="M2" i="18"/>
  <c r="L2" i="18"/>
  <c r="K2" i="18"/>
  <c r="J2" i="18"/>
  <c r="I2" i="18"/>
  <c r="H2" i="18"/>
  <c r="G2" i="18"/>
  <c r="G10" i="24" l="1"/>
  <c r="G9" i="24" s="1"/>
  <c r="D4" i="27"/>
  <c r="C14" i="19"/>
  <c r="L52" i="18"/>
  <c r="M52" i="18"/>
  <c r="N42" i="18"/>
  <c r="N45" i="18"/>
  <c r="N44" i="18"/>
  <c r="N43" i="18"/>
  <c r="N46" i="18"/>
  <c r="G5" i="27"/>
  <c r="G4" i="27" s="1"/>
  <c r="G10" i="27"/>
  <c r="G9" i="27" s="1"/>
  <c r="H39" i="23"/>
  <c r="F4" i="24"/>
  <c r="F62" i="24" s="1"/>
  <c r="F71" i="24" s="1"/>
  <c r="H39" i="26"/>
  <c r="F4" i="27"/>
  <c r="F62" i="27" s="1"/>
  <c r="F71" i="27" s="1"/>
  <c r="M82" i="1"/>
  <c r="G5" i="24"/>
  <c r="G4" i="24" s="1"/>
  <c r="I82" i="1"/>
  <c r="D4" i="24"/>
  <c r="F57" i="18"/>
  <c r="E57" i="18"/>
  <c r="M58" i="18"/>
  <c r="Q32" i="18"/>
  <c r="P33" i="18"/>
  <c r="M62" i="18"/>
  <c r="M60" i="18" s="1"/>
  <c r="N62" i="18"/>
  <c r="O36" i="18"/>
  <c r="M30" i="18"/>
  <c r="N34" i="18"/>
  <c r="N66" i="18" s="1"/>
  <c r="N64" i="18" s="1"/>
  <c r="N61" i="18"/>
  <c r="X12" i="18"/>
  <c r="O65" i="18"/>
  <c r="V61" i="18"/>
  <c r="V30" i="18"/>
  <c r="W66" i="18"/>
  <c r="W30" i="18"/>
  <c r="K56" i="18"/>
  <c r="J55" i="18"/>
  <c r="L55" i="18"/>
  <c r="V6" i="18"/>
  <c r="I69" i="18"/>
  <c r="W6" i="18"/>
  <c r="V65" i="18"/>
  <c r="W61" i="18"/>
  <c r="W21" i="18"/>
  <c r="V21" i="18"/>
  <c r="G84" i="18"/>
  <c r="AC107" i="18"/>
  <c r="AC108" i="18" s="1"/>
  <c r="N48" i="18" l="1"/>
  <c r="N50" i="18" s="1"/>
  <c r="N49" i="18" s="1"/>
  <c r="N47" i="18"/>
  <c r="N51" i="18"/>
  <c r="O44" i="18"/>
  <c r="O43" i="18"/>
  <c r="O42" i="18"/>
  <c r="O51" i="18" s="1"/>
  <c r="O45" i="18"/>
  <c r="O62" i="18" s="1"/>
  <c r="O46" i="18"/>
  <c r="G39" i="26"/>
  <c r="G47" i="26" s="1"/>
  <c r="H47" i="26"/>
  <c r="C7" i="19" s="1"/>
  <c r="G39" i="23"/>
  <c r="G47" i="23" s="1"/>
  <c r="G49" i="23" s="1"/>
  <c r="I24" i="1" s="1"/>
  <c r="J24" i="1" s="1"/>
  <c r="K24" i="1" s="1"/>
  <c r="L24" i="1" s="1"/>
  <c r="H47" i="23"/>
  <c r="F55" i="18"/>
  <c r="F54" i="18" s="1"/>
  <c r="N58" i="18"/>
  <c r="G58" i="18"/>
  <c r="N60" i="18"/>
  <c r="P36" i="18"/>
  <c r="N69" i="18"/>
  <c r="R32" i="18"/>
  <c r="Q33" i="18"/>
  <c r="S37" i="18"/>
  <c r="O34" i="18"/>
  <c r="O66" i="18" s="1"/>
  <c r="O64" i="18" s="1"/>
  <c r="N30" i="18"/>
  <c r="Y13" i="18"/>
  <c r="O61" i="18"/>
  <c r="X18" i="18"/>
  <c r="P61" i="18"/>
  <c r="G71" i="18"/>
  <c r="L69" i="18"/>
  <c r="K71" i="18"/>
  <c r="H71" i="18"/>
  <c r="N71" i="18"/>
  <c r="V66" i="18"/>
  <c r="V64" i="18" s="1"/>
  <c r="K70" i="18"/>
  <c r="K69" i="18"/>
  <c r="G69" i="18"/>
  <c r="J71" i="18"/>
  <c r="I71" i="18"/>
  <c r="J69" i="18"/>
  <c r="L71" i="18"/>
  <c r="H69" i="18"/>
  <c r="M71" i="18"/>
  <c r="M69" i="18"/>
  <c r="V62" i="18"/>
  <c r="W46" i="18"/>
  <c r="V42" i="18"/>
  <c r="V46" i="18"/>
  <c r="W44" i="18"/>
  <c r="V44" i="18"/>
  <c r="V51" i="18"/>
  <c r="V43" i="18"/>
  <c r="W42" i="18"/>
  <c r="H84" i="18"/>
  <c r="G70" i="18"/>
  <c r="F58" i="18"/>
  <c r="M55" i="18"/>
  <c r="M56" i="18"/>
  <c r="V22" i="18"/>
  <c r="W22" i="18"/>
  <c r="G55" i="18"/>
  <c r="E55" i="18"/>
  <c r="I55" i="18"/>
  <c r="I56" i="18"/>
  <c r="V20" i="18"/>
  <c r="W20" i="18"/>
  <c r="W65" i="18"/>
  <c r="W64" i="18" s="1"/>
  <c r="V60" i="18"/>
  <c r="H56" i="18"/>
  <c r="H55" i="18"/>
  <c r="H54" i="18" s="1"/>
  <c r="G49" i="26" l="1"/>
  <c r="M24" i="1" s="1"/>
  <c r="N24" i="1" s="1"/>
  <c r="O24" i="1" s="1"/>
  <c r="P24" i="1" s="1"/>
  <c r="Q24" i="1" s="1"/>
  <c r="R24" i="1" s="1"/>
  <c r="B7" i="19"/>
  <c r="G54" i="18"/>
  <c r="O48" i="18"/>
  <c r="O56" i="18" s="1"/>
  <c r="O47" i="18"/>
  <c r="N52" i="18"/>
  <c r="M54" i="18"/>
  <c r="P43" i="18"/>
  <c r="X43" i="18" s="1"/>
  <c r="P44" i="18"/>
  <c r="X44" i="18" s="1"/>
  <c r="P46" i="18"/>
  <c r="P42" i="18"/>
  <c r="P45" i="18"/>
  <c r="P62" i="18" s="1"/>
  <c r="I54" i="18"/>
  <c r="H49" i="23"/>
  <c r="I41" i="23"/>
  <c r="I44" i="23"/>
  <c r="I42" i="23"/>
  <c r="I45" i="23"/>
  <c r="I40" i="23"/>
  <c r="I43" i="23"/>
  <c r="I39" i="23"/>
  <c r="I40" i="26"/>
  <c r="H49" i="26"/>
  <c r="I45" i="26"/>
  <c r="I42" i="26"/>
  <c r="I43" i="26"/>
  <c r="I44" i="26"/>
  <c r="I41" i="26"/>
  <c r="I39" i="26"/>
  <c r="F77" i="18"/>
  <c r="O58" i="18"/>
  <c r="O60" i="18"/>
  <c r="N56" i="18"/>
  <c r="L56" i="18"/>
  <c r="L54" i="18" s="1"/>
  <c r="K55" i="18"/>
  <c r="K54" i="18" s="1"/>
  <c r="X45" i="18"/>
  <c r="K57" i="18"/>
  <c r="S32" i="18"/>
  <c r="S33" i="18" s="1"/>
  <c r="R33" i="18"/>
  <c r="R36" i="18" s="1"/>
  <c r="O71" i="18"/>
  <c r="X10" i="18"/>
  <c r="P65" i="18"/>
  <c r="O69" i="18"/>
  <c r="J56" i="18"/>
  <c r="J54" i="18" s="1"/>
  <c r="Q36" i="18"/>
  <c r="N55" i="18"/>
  <c r="P34" i="18"/>
  <c r="O30" i="18"/>
  <c r="X20" i="18"/>
  <c r="X22" i="18"/>
  <c r="X61" i="18"/>
  <c r="X21" i="18"/>
  <c r="Q61" i="18"/>
  <c r="V47" i="18"/>
  <c r="Q65" i="18"/>
  <c r="X6" i="18"/>
  <c r="H70" i="18"/>
  <c r="M70" i="18"/>
  <c r="I70" i="18"/>
  <c r="V48" i="18"/>
  <c r="J70" i="18"/>
  <c r="L70" i="18"/>
  <c r="N70" i="18"/>
  <c r="O70" i="18"/>
  <c r="W47" i="18"/>
  <c r="W43" i="18"/>
  <c r="W48" i="18"/>
  <c r="W51" i="18"/>
  <c r="E58" i="18"/>
  <c r="E54" i="18" s="1"/>
  <c r="W69" i="18"/>
  <c r="C20" i="21" s="1"/>
  <c r="V69" i="18"/>
  <c r="W19" i="18"/>
  <c r="X19" i="18"/>
  <c r="V19" i="18"/>
  <c r="I84" i="18"/>
  <c r="H86" i="18"/>
  <c r="V23" i="18"/>
  <c r="W23" i="18"/>
  <c r="W24" i="18"/>
  <c r="V24" i="18"/>
  <c r="P71" i="18" l="1"/>
  <c r="N54" i="18"/>
  <c r="P70" i="18"/>
  <c r="X70" i="18" s="1"/>
  <c r="E21" i="21" s="1"/>
  <c r="P51" i="18"/>
  <c r="P58" i="18" s="1"/>
  <c r="P48" i="18"/>
  <c r="P50" i="18" s="1"/>
  <c r="P49" i="18" s="1"/>
  <c r="P47" i="18"/>
  <c r="P52" i="18" s="1"/>
  <c r="Q46" i="18"/>
  <c r="Q44" i="18"/>
  <c r="Q71" i="18" s="1"/>
  <c r="Q43" i="18"/>
  <c r="Q45" i="18"/>
  <c r="Q62" i="18" s="1"/>
  <c r="Q42" i="18"/>
  <c r="Q51" i="18" s="1"/>
  <c r="X46" i="18"/>
  <c r="X42" i="18"/>
  <c r="O52" i="18"/>
  <c r="X52" i="18" s="1"/>
  <c r="P69" i="18"/>
  <c r="X69" i="18" s="1"/>
  <c r="E20" i="21" s="1"/>
  <c r="R43" i="18"/>
  <c r="R46" i="18"/>
  <c r="R44" i="18"/>
  <c r="R42" i="18"/>
  <c r="R45" i="18"/>
  <c r="O50" i="18"/>
  <c r="O49" i="18"/>
  <c r="I47" i="26"/>
  <c r="I47" i="23"/>
  <c r="O55" i="18"/>
  <c r="O54" i="18" s="1"/>
  <c r="S36" i="18"/>
  <c r="T33" i="18"/>
  <c r="X51" i="18"/>
  <c r="P66" i="18"/>
  <c r="X66" i="18" s="1"/>
  <c r="X34" i="18"/>
  <c r="X24" i="18"/>
  <c r="V52" i="18"/>
  <c r="Q70" i="18"/>
  <c r="Q60" i="18"/>
  <c r="N57" i="18"/>
  <c r="H57" i="18"/>
  <c r="H77" i="18" s="1"/>
  <c r="H79" i="18" s="1"/>
  <c r="J57" i="18"/>
  <c r="J77" i="18" s="1"/>
  <c r="J79" i="18" s="1"/>
  <c r="P55" i="18"/>
  <c r="P60" i="18"/>
  <c r="M57" i="18"/>
  <c r="M77" i="18" s="1"/>
  <c r="M79" i="18" s="1"/>
  <c r="L57" i="18"/>
  <c r="L77" i="18" s="1"/>
  <c r="L79" i="18" s="1"/>
  <c r="I57" i="18"/>
  <c r="I77" i="18" s="1"/>
  <c r="I79" i="18" s="1"/>
  <c r="W49" i="18"/>
  <c r="G57" i="18"/>
  <c r="Q34" i="18"/>
  <c r="Q66" i="18" s="1"/>
  <c r="Q64" i="18" s="1"/>
  <c r="P30" i="18"/>
  <c r="X30" i="18" s="1"/>
  <c r="X23" i="18"/>
  <c r="Y12" i="18"/>
  <c r="R65" i="18"/>
  <c r="W52" i="18"/>
  <c r="V50" i="18"/>
  <c r="V28" i="18"/>
  <c r="W50" i="18"/>
  <c r="F88" i="18"/>
  <c r="X27" i="18"/>
  <c r="W27" i="18"/>
  <c r="V27" i="18"/>
  <c r="J84" i="18"/>
  <c r="I86" i="18"/>
  <c r="W55" i="18"/>
  <c r="C16" i="21" s="1"/>
  <c r="V55" i="18"/>
  <c r="W62" i="18"/>
  <c r="W60" i="18"/>
  <c r="C14" i="21" s="1"/>
  <c r="W71" i="18"/>
  <c r="C22" i="21" s="1"/>
  <c r="V71" i="18"/>
  <c r="X71" i="18"/>
  <c r="E22" i="21" s="1"/>
  <c r="X65" i="18"/>
  <c r="W26" i="18"/>
  <c r="V26" i="18"/>
  <c r="W56" i="18"/>
  <c r="C17" i="21" s="1"/>
  <c r="V56" i="18"/>
  <c r="P56" i="18" l="1"/>
  <c r="X56" i="18" s="1"/>
  <c r="E17" i="21" s="1"/>
  <c r="X47" i="18"/>
  <c r="R51" i="18"/>
  <c r="X48" i="18"/>
  <c r="S45" i="18"/>
  <c r="S43" i="18"/>
  <c r="S42" i="18"/>
  <c r="S51" i="18" s="1"/>
  <c r="S46" i="18"/>
  <c r="S44" i="18"/>
  <c r="R47" i="18"/>
  <c r="R48" i="18"/>
  <c r="R50" i="18" s="1"/>
  <c r="R49" i="18" s="1"/>
  <c r="P54" i="18"/>
  <c r="Q47" i="18"/>
  <c r="Q48" i="18"/>
  <c r="Q50" i="18" s="1"/>
  <c r="Q49" i="18" s="1"/>
  <c r="Q69" i="18"/>
  <c r="X55" i="18"/>
  <c r="E16" i="21" s="1"/>
  <c r="O57" i="18"/>
  <c r="H88" i="18"/>
  <c r="H90" i="18" s="1"/>
  <c r="P64" i="18"/>
  <c r="X64" i="18"/>
  <c r="X50" i="18"/>
  <c r="Q58" i="18"/>
  <c r="W25" i="18"/>
  <c r="I88" i="18"/>
  <c r="I90" i="18" s="1"/>
  <c r="V25" i="18"/>
  <c r="X25" i="18"/>
  <c r="Q55" i="18"/>
  <c r="V49" i="18"/>
  <c r="X26" i="18"/>
  <c r="R62" i="18"/>
  <c r="P57" i="18"/>
  <c r="T42" i="18"/>
  <c r="R34" i="18"/>
  <c r="R66" i="18" s="1"/>
  <c r="R64" i="18" s="1"/>
  <c r="Q30" i="18"/>
  <c r="Y18" i="18"/>
  <c r="R61" i="18"/>
  <c r="W28" i="18"/>
  <c r="X28" i="18"/>
  <c r="N77" i="18"/>
  <c r="N79" i="18" s="1"/>
  <c r="K77" i="18"/>
  <c r="K79" i="18" s="1"/>
  <c r="W70" i="18"/>
  <c r="C21" i="21" s="1"/>
  <c r="V70" i="18"/>
  <c r="K84" i="18"/>
  <c r="J88" i="18"/>
  <c r="J86" i="18"/>
  <c r="E77" i="18"/>
  <c r="X62" i="18"/>
  <c r="X60" i="18"/>
  <c r="E14" i="21" s="1"/>
  <c r="W57" i="18"/>
  <c r="C19" i="21" s="1"/>
  <c r="V57" i="18"/>
  <c r="G77" i="18"/>
  <c r="W54" i="18"/>
  <c r="V54" i="18"/>
  <c r="X57" i="18" l="1"/>
  <c r="E19" i="21" s="1"/>
  <c r="Q56" i="18"/>
  <c r="Q54" i="18" s="1"/>
  <c r="R52" i="18"/>
  <c r="S47" i="18"/>
  <c r="S48" i="18"/>
  <c r="S52" i="18" s="1"/>
  <c r="Q52" i="18"/>
  <c r="T43" i="18"/>
  <c r="S70" i="18"/>
  <c r="R60" i="18"/>
  <c r="T46" i="18"/>
  <c r="X49" i="18"/>
  <c r="T44" i="18"/>
  <c r="S62" i="18"/>
  <c r="T45" i="18"/>
  <c r="Y45" i="18"/>
  <c r="S61" i="18"/>
  <c r="Z109" i="18"/>
  <c r="Y21" i="18"/>
  <c r="S71" i="18"/>
  <c r="X54" i="18"/>
  <c r="Y42" i="18"/>
  <c r="Y43" i="18"/>
  <c r="Y10" i="18"/>
  <c r="S65" i="18"/>
  <c r="Q57" i="18"/>
  <c r="S58" i="18"/>
  <c r="Y46" i="18"/>
  <c r="Y44" i="18"/>
  <c r="R30" i="18"/>
  <c r="S34" i="18"/>
  <c r="S69" i="18"/>
  <c r="R70" i="18"/>
  <c r="Y19" i="18"/>
  <c r="R69" i="18"/>
  <c r="Y22" i="18"/>
  <c r="R71" i="18"/>
  <c r="Y20" i="18"/>
  <c r="V58" i="18"/>
  <c r="P77" i="18"/>
  <c r="P79" i="18" s="1"/>
  <c r="W58" i="18"/>
  <c r="C18" i="21" s="1"/>
  <c r="X58" i="18"/>
  <c r="E18" i="21" s="1"/>
  <c r="K88" i="18"/>
  <c r="O77" i="18"/>
  <c r="O79" i="18" s="1"/>
  <c r="J90" i="18"/>
  <c r="K86" i="18"/>
  <c r="L84" i="18"/>
  <c r="G88" i="18"/>
  <c r="E88" i="18"/>
  <c r="S50" i="18" l="1"/>
  <c r="S49" i="18" s="1"/>
  <c r="S66" i="18"/>
  <c r="S64" i="18" s="1"/>
  <c r="T64" i="18" s="1"/>
  <c r="Y34" i="18"/>
  <c r="T34" i="18"/>
  <c r="S60" i="18"/>
  <c r="T61" i="18"/>
  <c r="AB109" i="18" s="1"/>
  <c r="Y61" i="18"/>
  <c r="R55" i="18"/>
  <c r="Y6" i="18"/>
  <c r="T51" i="18"/>
  <c r="R56" i="18"/>
  <c r="T62" i="18"/>
  <c r="AB110" i="18" s="1"/>
  <c r="Y62" i="18"/>
  <c r="T48" i="18"/>
  <c r="Y65" i="18"/>
  <c r="T65" i="18"/>
  <c r="T47" i="18"/>
  <c r="Y48" i="18"/>
  <c r="S56" i="18"/>
  <c r="Y47" i="18"/>
  <c r="Y51" i="18"/>
  <c r="R58" i="18"/>
  <c r="S55" i="18"/>
  <c r="S30" i="18"/>
  <c r="Y24" i="18"/>
  <c r="T70" i="18"/>
  <c r="Y70" i="18"/>
  <c r="G21" i="21" s="1"/>
  <c r="T71" i="18"/>
  <c r="Y71" i="18"/>
  <c r="G22" i="21" s="1"/>
  <c r="Y27" i="18"/>
  <c r="Y69" i="18"/>
  <c r="G20" i="21" s="1"/>
  <c r="T69" i="18"/>
  <c r="Y23" i="18"/>
  <c r="AB107" i="18"/>
  <c r="Z107" i="18"/>
  <c r="K90" i="18"/>
  <c r="L88" i="18"/>
  <c r="L86" i="18"/>
  <c r="M84" i="18"/>
  <c r="H97" i="18"/>
  <c r="S54" i="18" l="1"/>
  <c r="R54" i="18"/>
  <c r="T50" i="18"/>
  <c r="T56" i="18"/>
  <c r="Y30" i="18"/>
  <c r="T30" i="18"/>
  <c r="Y66" i="18"/>
  <c r="Y64" i="18" s="1"/>
  <c r="T66" i="18"/>
  <c r="Y56" i="18"/>
  <c r="G17" i="21" s="1"/>
  <c r="T52" i="18"/>
  <c r="T55" i="18"/>
  <c r="S57" i="18"/>
  <c r="T60" i="18"/>
  <c r="Y60" i="18"/>
  <c r="G14" i="21" s="1"/>
  <c r="T58" i="18"/>
  <c r="Y58" i="18"/>
  <c r="G18" i="21" s="1"/>
  <c r="R57" i="18"/>
  <c r="Y50" i="18"/>
  <c r="Y52" i="18"/>
  <c r="Y55" i="18"/>
  <c r="G16" i="21" s="1"/>
  <c r="T49" i="18"/>
  <c r="Q77" i="18"/>
  <c r="Z106" i="18"/>
  <c r="Y28" i="18"/>
  <c r="Y26" i="18"/>
  <c r="L90" i="18"/>
  <c r="N84" i="18"/>
  <c r="M86" i="18"/>
  <c r="M88" i="18"/>
  <c r="S77" i="18" l="1"/>
  <c r="S79" i="18" s="1"/>
  <c r="Q79" i="18"/>
  <c r="T54" i="18"/>
  <c r="AB106" i="18" s="1"/>
  <c r="Y57" i="18"/>
  <c r="G19" i="21" s="1"/>
  <c r="T57" i="18"/>
  <c r="Y49" i="18"/>
  <c r="Y25" i="18"/>
  <c r="M90" i="18"/>
  <c r="N86" i="18"/>
  <c r="O84" i="18"/>
  <c r="N88" i="18"/>
  <c r="R77" i="18" l="1"/>
  <c r="Y54" i="18"/>
  <c r="N90" i="18"/>
  <c r="O86" i="18"/>
  <c r="P84" i="18"/>
  <c r="O88" i="18"/>
  <c r="R79" i="18" l="1"/>
  <c r="T77" i="18"/>
  <c r="O90" i="18"/>
  <c r="Q84" i="18"/>
  <c r="P86" i="18"/>
  <c r="P88" i="18"/>
  <c r="P90" i="18" l="1"/>
  <c r="Q88" i="18"/>
  <c r="Q86" i="18"/>
  <c r="R84" i="18"/>
  <c r="R86" i="18" l="1"/>
  <c r="S84" i="18"/>
  <c r="R88" i="18"/>
  <c r="Q90" i="18"/>
  <c r="R90" i="18" l="1"/>
  <c r="S86" i="18"/>
  <c r="S88" i="18"/>
  <c r="T88" i="18" s="1"/>
  <c r="S90"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0" i="2" l="1"/>
  <c r="B82" i="1" l="1"/>
  <c r="B83" i="1"/>
  <c r="B84" i="1"/>
  <c r="B58" i="1"/>
  <c r="B59" i="1"/>
  <c r="B60" i="1"/>
  <c r="A106" i="1"/>
  <c r="H106" i="1"/>
  <c r="J106" i="1" s="1"/>
  <c r="K106" i="1" s="1"/>
  <c r="L106" i="1" s="1"/>
  <c r="N106" i="1" s="1"/>
  <c r="O106" i="1" s="1"/>
  <c r="P106" i="1" s="1"/>
  <c r="Q106" i="1" s="1"/>
  <c r="R106" i="1" s="1"/>
  <c r="B85" i="1"/>
  <c r="H85" i="1"/>
  <c r="J85" i="1" s="1"/>
  <c r="K85" i="1" s="1"/>
  <c r="L85" i="1" s="1"/>
  <c r="N85" i="1" s="1"/>
  <c r="O85" i="1" s="1"/>
  <c r="P85" i="1" s="1"/>
  <c r="Q85" i="1" s="1"/>
  <c r="R85" i="1" s="1"/>
  <c r="H94" i="1"/>
  <c r="J94" i="1" s="1"/>
  <c r="K94" i="1" s="1"/>
  <c r="L94" i="1" s="1"/>
  <c r="N94" i="1" s="1"/>
  <c r="O94" i="1" s="1"/>
  <c r="P94" i="1" s="1"/>
  <c r="Q94" i="1" s="1"/>
  <c r="R94" i="1" s="1"/>
  <c r="B95" i="1"/>
  <c r="D95" i="1"/>
  <c r="E95" i="1" s="1"/>
  <c r="F95" i="1" s="1"/>
  <c r="G95" i="1" s="1"/>
  <c r="H95" i="1" s="1"/>
  <c r="I95" i="1" s="1"/>
  <c r="J95" i="1" s="1"/>
  <c r="K95" i="1" s="1"/>
  <c r="L95" i="1" s="1"/>
  <c r="M95" i="1" s="1"/>
  <c r="N95" i="1" s="1"/>
  <c r="O95" i="1" s="1"/>
  <c r="P95" i="1" s="1"/>
  <c r="Q95" i="1" s="1"/>
  <c r="R95" i="1" s="1"/>
  <c r="B96" i="1"/>
  <c r="D96" i="1"/>
  <c r="E96" i="1" s="1"/>
  <c r="F96" i="1" s="1"/>
  <c r="G96" i="1" s="1"/>
  <c r="H96" i="1" s="1"/>
  <c r="I96" i="1" s="1"/>
  <c r="J96" i="1" s="1"/>
  <c r="K96" i="1" s="1"/>
  <c r="L96" i="1" s="1"/>
  <c r="M96" i="1" s="1"/>
  <c r="N96" i="1" s="1"/>
  <c r="O96" i="1" s="1"/>
  <c r="P96" i="1" s="1"/>
  <c r="Q96" i="1" s="1"/>
  <c r="R96" i="1" s="1"/>
  <c r="B97" i="1"/>
  <c r="D97" i="1"/>
  <c r="E97" i="1" s="1"/>
  <c r="F97" i="1" s="1"/>
  <c r="G97" i="1" s="1"/>
  <c r="H97" i="1" s="1"/>
  <c r="I97" i="1" s="1"/>
  <c r="J97" i="1" s="1"/>
  <c r="K97" i="1" s="1"/>
  <c r="L97" i="1" s="1"/>
  <c r="M97" i="1" s="1"/>
  <c r="N97" i="1" s="1"/>
  <c r="O97" i="1" s="1"/>
  <c r="P97" i="1" s="1"/>
  <c r="Q97" i="1" s="1"/>
  <c r="R97" i="1" s="1"/>
  <c r="B98" i="1"/>
  <c r="D98" i="1"/>
  <c r="E98" i="1" s="1"/>
  <c r="F98" i="1" s="1"/>
  <c r="G98" i="1" s="1"/>
  <c r="H98" i="1" s="1"/>
  <c r="I98" i="1" s="1"/>
  <c r="J98" i="1" s="1"/>
  <c r="K98" i="1" s="1"/>
  <c r="L98" i="1" s="1"/>
  <c r="M98" i="1" s="1"/>
  <c r="N98" i="1" s="1"/>
  <c r="O98" i="1" s="1"/>
  <c r="P98" i="1" s="1"/>
  <c r="Q98" i="1" s="1"/>
  <c r="R98" i="1" s="1"/>
  <c r="B86" i="1"/>
  <c r="H86" i="1"/>
  <c r="J86" i="1" s="1"/>
  <c r="K86" i="1" s="1"/>
  <c r="L86" i="1" s="1"/>
  <c r="N86" i="1" s="1"/>
  <c r="O86" i="1" s="1"/>
  <c r="P86" i="1" s="1"/>
  <c r="Q86" i="1" s="1"/>
  <c r="R86" i="1" s="1"/>
  <c r="B87" i="1"/>
  <c r="H87" i="1"/>
  <c r="J87" i="1" s="1"/>
  <c r="K87" i="1" s="1"/>
  <c r="L87" i="1" s="1"/>
  <c r="N87" i="1" s="1"/>
  <c r="O87" i="1" s="1"/>
  <c r="P87" i="1" s="1"/>
  <c r="Q87" i="1" s="1"/>
  <c r="R87" i="1" s="1"/>
  <c r="A107" i="1"/>
  <c r="A108" i="1"/>
  <c r="A109" i="1"/>
  <c r="H109" i="1"/>
  <c r="J109" i="1" s="1"/>
  <c r="K109" i="1" s="1"/>
  <c r="L109" i="1" s="1"/>
  <c r="N109" i="1" s="1"/>
  <c r="O109" i="1" s="1"/>
  <c r="P109" i="1" s="1"/>
  <c r="Q109" i="1" s="1"/>
  <c r="R109" i="1" s="1"/>
  <c r="D78" i="1" l="1"/>
  <c r="J10" i="2"/>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C3" i="11" l="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17" i="1"/>
  <c r="R21" i="1"/>
  <c r="R25" i="1"/>
  <c r="R29" i="1"/>
  <c r="R33" i="1"/>
  <c r="R37" i="1"/>
  <c r="R41" i="1"/>
  <c r="R45" i="1"/>
  <c r="R78" i="1"/>
  <c r="R79" i="1" s="1"/>
  <c r="R104" i="1"/>
  <c r="D3" i="11" l="1"/>
  <c r="E3" i="11" s="1"/>
  <c r="F3" i="11" s="1"/>
  <c r="G3" i="11" s="1"/>
  <c r="H3" i="11" s="1"/>
  <c r="I3" i="11" s="1"/>
  <c r="J3" i="11" s="1"/>
  <c r="K3" i="11" s="1"/>
  <c r="L3" i="11" s="1"/>
  <c r="M3" i="11" s="1"/>
  <c r="N3" i="11" s="1"/>
  <c r="O3" i="11" s="1"/>
  <c r="P3" i="11" s="1"/>
  <c r="Q3" i="11" s="1"/>
  <c r="S3" i="1"/>
  <c r="R80" i="1"/>
  <c r="J80" i="1"/>
  <c r="H80" i="1"/>
  <c r="F80" i="1"/>
  <c r="R58" i="5"/>
  <c r="R59" i="5"/>
  <c r="R60" i="5"/>
  <c r="R61"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D24" i="2" l="1"/>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F13" i="2"/>
  <c r="F19" i="2" s="1"/>
  <c r="G13" i="2"/>
  <c r="G19" i="2" s="1"/>
  <c r="H13" i="2"/>
  <c r="H19" i="2" s="1"/>
  <c r="G47" i="11" s="1"/>
  <c r="I13" i="2"/>
  <c r="I19" i="2" s="1"/>
  <c r="D13" i="2"/>
  <c r="D19" i="2" s="1"/>
  <c r="E19" i="2" l="1"/>
  <c r="E65" i="17"/>
  <c r="E65" i="27"/>
  <c r="C30" i="19" s="1"/>
  <c r="E65" i="24"/>
  <c r="E66" i="17"/>
  <c r="G66" i="17" s="1"/>
  <c r="E66" i="24"/>
  <c r="E66" i="27"/>
  <c r="C31" i="19" s="1"/>
  <c r="F75" i="18"/>
  <c r="F86" i="18" s="1"/>
  <c r="D7" i="8"/>
  <c r="G75" i="18"/>
  <c r="G86" i="18" s="1"/>
  <c r="G90" i="18" s="1"/>
  <c r="E7" i="8"/>
  <c r="E75" i="18"/>
  <c r="E79" i="18" s="1"/>
  <c r="E81" i="18" s="1"/>
  <c r="C7" i="8"/>
  <c r="E25" i="8"/>
  <c r="E47" i="11"/>
  <c r="H25" i="8"/>
  <c r="H47" i="11"/>
  <c r="C25" i="8"/>
  <c r="C47" i="11"/>
  <c r="F25" i="8"/>
  <c r="F47" i="11"/>
  <c r="J41" i="2"/>
  <c r="C16" i="7" s="1"/>
  <c r="H44" i="2"/>
  <c r="G25" i="8"/>
  <c r="I44" i="2"/>
  <c r="G44" i="2"/>
  <c r="E44" i="2"/>
  <c r="D25" i="8"/>
  <c r="F44" i="2"/>
  <c r="D44" i="2"/>
  <c r="J35" i="2"/>
  <c r="J4" i="2"/>
  <c r="O15" i="2"/>
  <c r="J15" i="2"/>
  <c r="O17" i="2"/>
  <c r="O8" i="2"/>
  <c r="O6" i="2"/>
  <c r="C6" i="7"/>
  <c r="D47" i="11" l="1"/>
  <c r="D5" i="28"/>
  <c r="R112" i="1" s="1"/>
  <c r="R112" i="5" s="1"/>
  <c r="C5" i="28"/>
  <c r="M112" i="1" s="1"/>
  <c r="M112" i="5" s="1"/>
  <c r="D65" i="17"/>
  <c r="G65" i="17"/>
  <c r="G65" i="24"/>
  <c r="D65" i="24"/>
  <c r="G65" i="27"/>
  <c r="D65" i="27"/>
  <c r="E86" i="18"/>
  <c r="E90" i="18" s="1"/>
  <c r="E92" i="18" s="1"/>
  <c r="D66" i="17"/>
  <c r="D69" i="17" s="1"/>
  <c r="G66" i="24"/>
  <c r="G69" i="24" s="1"/>
  <c r="D66" i="24"/>
  <c r="E69" i="24"/>
  <c r="E69" i="17"/>
  <c r="B31" i="19"/>
  <c r="G66" i="27"/>
  <c r="E69" i="27"/>
  <c r="D66" i="27"/>
  <c r="D69" i="27" s="1"/>
  <c r="G69" i="17"/>
  <c r="T75" i="18"/>
  <c r="G79" i="18"/>
  <c r="F79" i="18"/>
  <c r="D99" i="18" s="1"/>
  <c r="C6" i="21" s="1"/>
  <c r="I5" i="21" s="1"/>
  <c r="B30" i="19"/>
  <c r="F90" i="18"/>
  <c r="K41" i="2"/>
  <c r="C9" i="7"/>
  <c r="O19" i="2"/>
  <c r="O21" i="2" s="1"/>
  <c r="R3" i="13" s="1"/>
  <c r="D69" i="24" l="1"/>
  <c r="G69" i="27"/>
  <c r="F81" i="18"/>
  <c r="G81" i="18" s="1"/>
  <c r="H81" i="18" s="1"/>
  <c r="I81" i="18" s="1"/>
  <c r="J81" i="18" s="1"/>
  <c r="K81" i="18" s="1"/>
  <c r="L81" i="18" s="1"/>
  <c r="M81" i="18" s="1"/>
  <c r="N81" i="18" s="1"/>
  <c r="O81" i="18" s="1"/>
  <c r="P81" i="18" s="1"/>
  <c r="Q81" i="18" s="1"/>
  <c r="R81" i="18" s="1"/>
  <c r="S81" i="18" s="1"/>
  <c r="T86" i="18"/>
  <c r="D98" i="18" s="1"/>
  <c r="C5" i="21" s="1"/>
  <c r="B29" i="19"/>
  <c r="C29" i="19"/>
  <c r="T79" i="18"/>
  <c r="G102" i="18"/>
  <c r="G97" i="18"/>
  <c r="F92" i="18"/>
  <c r="T90" i="18"/>
  <c r="J17" i="2"/>
  <c r="J6" i="2"/>
  <c r="E2" i="2"/>
  <c r="F2" i="2" s="1"/>
  <c r="G2" i="2" s="1"/>
  <c r="H2" i="2" s="1"/>
  <c r="I2" i="2" s="1"/>
  <c r="G92" i="18" l="1"/>
  <c r="H92" i="18" s="1"/>
  <c r="I92" i="18" s="1"/>
  <c r="J92" i="18" s="1"/>
  <c r="K92" i="18" s="1"/>
  <c r="L92" i="18" s="1"/>
  <c r="M92" i="18" s="1"/>
  <c r="N92" i="18" s="1"/>
  <c r="O92" i="18" s="1"/>
  <c r="P92" i="18" s="1"/>
  <c r="Q92" i="18" s="1"/>
  <c r="R92" i="18" s="1"/>
  <c r="S92"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G25" i="4"/>
  <c r="F25" i="4"/>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D100" i="18" l="1"/>
  <c r="C7" i="21" s="1"/>
  <c r="T92" i="18"/>
  <c r="D97" i="18" s="1"/>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1"/>
  <c r="D104" i="5" s="1"/>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D78" i="5" l="1"/>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R80" i="5"/>
  <c r="M80" i="5"/>
  <c r="O80" i="1" l="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F124" i="4" l="1"/>
  <c r="G124" i="4" s="1"/>
  <c r="H124" i="4" s="1"/>
  <c r="I124" i="4" s="1"/>
  <c r="J124" i="4" s="1"/>
  <c r="K124" i="4" s="1"/>
  <c r="L124" i="4" s="1"/>
  <c r="M124" i="4" s="1"/>
  <c r="N124" i="4" s="1"/>
  <c r="O124" i="4" s="1"/>
  <c r="P124" i="4" s="1"/>
  <c r="Q124" i="4" s="1"/>
  <c r="R124" i="4" s="1"/>
  <c r="D9" i="7" l="1"/>
  <c r="J13" i="2"/>
  <c r="E55" i="17" l="1"/>
  <c r="E55" i="24"/>
  <c r="I108" i="1" s="1"/>
  <c r="E55" i="27"/>
  <c r="J44" i="2"/>
  <c r="K44" i="2" s="1"/>
  <c r="M108" i="1" l="1"/>
  <c r="C22" i="19"/>
  <c r="D55" i="17"/>
  <c r="D55" i="27"/>
  <c r="G55" i="27"/>
  <c r="E62" i="27"/>
  <c r="B22" i="19"/>
  <c r="D55" i="24"/>
  <c r="G55" i="24"/>
  <c r="E62" i="24"/>
  <c r="G55" i="17"/>
  <c r="G62" i="24" l="1"/>
  <c r="H55" i="24" s="1"/>
  <c r="E71" i="24"/>
  <c r="D71" i="24" s="1"/>
  <c r="D62" i="24"/>
  <c r="E71" i="27"/>
  <c r="D71" i="27" s="1"/>
  <c r="D62" i="27"/>
  <c r="D108" i="5"/>
  <c r="G62" i="27"/>
  <c r="E108" i="5"/>
  <c r="H4" i="27" l="1"/>
  <c r="H39" i="27"/>
  <c r="H27" i="27"/>
  <c r="H9" i="27"/>
  <c r="H52" i="27"/>
  <c r="H29" i="27"/>
  <c r="H54" i="27"/>
  <c r="H6" i="27"/>
  <c r="H37" i="27"/>
  <c r="G71" i="27"/>
  <c r="H60" i="27" s="1"/>
  <c r="H23" i="27"/>
  <c r="H59" i="27"/>
  <c r="H32" i="27"/>
  <c r="H8" i="27"/>
  <c r="H58" i="27"/>
  <c r="H44" i="27"/>
  <c r="H24" i="27"/>
  <c r="H21" i="27"/>
  <c r="H16" i="27"/>
  <c r="H11" i="27"/>
  <c r="H31" i="27"/>
  <c r="H20" i="27"/>
  <c r="H51" i="27"/>
  <c r="H10" i="27"/>
  <c r="H45" i="27"/>
  <c r="H38" i="27"/>
  <c r="H35" i="27"/>
  <c r="H15" i="27"/>
  <c r="H14" i="27"/>
  <c r="H49" i="27"/>
  <c r="H56" i="27"/>
  <c r="H28" i="27"/>
  <c r="H34" i="27"/>
  <c r="H19" i="27"/>
  <c r="H48" i="27"/>
  <c r="H36" i="27"/>
  <c r="H30" i="27"/>
  <c r="H22" i="27"/>
  <c r="H33" i="27"/>
  <c r="H17" i="27"/>
  <c r="H26" i="27"/>
  <c r="H50" i="27"/>
  <c r="H7" i="27"/>
  <c r="H57" i="27"/>
  <c r="H25" i="27"/>
  <c r="H18" i="27"/>
  <c r="H5" i="27"/>
  <c r="H55" i="27"/>
  <c r="H4" i="24"/>
  <c r="G71" i="24"/>
  <c r="H60" i="24" s="1"/>
  <c r="H35" i="24"/>
  <c r="H59" i="24"/>
  <c r="H8" i="24"/>
  <c r="H54" i="24"/>
  <c r="H56" i="24"/>
  <c r="H44" i="24"/>
  <c r="H15" i="24"/>
  <c r="H6" i="24"/>
  <c r="H57" i="24"/>
  <c r="H5" i="24"/>
  <c r="H25" i="24"/>
  <c r="H21" i="24"/>
  <c r="H28" i="24"/>
  <c r="H19" i="24"/>
  <c r="H17" i="24"/>
  <c r="H50" i="24"/>
  <c r="H49" i="24"/>
  <c r="H36" i="24"/>
  <c r="H32" i="24"/>
  <c r="H38" i="24"/>
  <c r="H18" i="24"/>
  <c r="H22" i="24"/>
  <c r="H11" i="24"/>
  <c r="H26" i="24"/>
  <c r="H58" i="24"/>
  <c r="H14" i="24"/>
  <c r="H9" i="24"/>
  <c r="H33" i="24"/>
  <c r="H24" i="24"/>
  <c r="H37" i="24"/>
  <c r="H30" i="24"/>
  <c r="H31" i="24"/>
  <c r="H20" i="24"/>
  <c r="H48" i="24"/>
  <c r="H39" i="24"/>
  <c r="H34" i="24"/>
  <c r="H27" i="24"/>
  <c r="H10" i="24"/>
  <c r="H7" i="24"/>
  <c r="H45" i="24"/>
  <c r="H16" i="24"/>
  <c r="H52" i="24"/>
  <c r="H51" i="24"/>
  <c r="H23" i="24"/>
  <c r="H29" i="24"/>
  <c r="F108" i="5"/>
  <c r="H108" i="1" l="1"/>
  <c r="G108" i="5"/>
  <c r="H108" i="5" l="1"/>
  <c r="J108" i="1" l="1"/>
  <c r="I108" i="5"/>
  <c r="K108" i="1" l="1"/>
  <c r="J108" i="5"/>
  <c r="L108" i="1" l="1"/>
  <c r="K108" i="5"/>
  <c r="L108" i="5" l="1"/>
  <c r="N108" i="1" l="1"/>
  <c r="M108" i="5"/>
  <c r="O108" i="1" l="1"/>
  <c r="N108" i="5"/>
  <c r="P108" i="1" l="1"/>
  <c r="O108" i="5"/>
  <c r="Q108" i="1" l="1"/>
  <c r="P108" i="5"/>
  <c r="R108" i="1" l="1"/>
  <c r="Q108" i="5"/>
  <c r="R108" i="5" l="1"/>
  <c r="D8" i="5" l="1"/>
  <c r="A7" i="5"/>
  <c r="A7" i="4"/>
  <c r="A11" i="5"/>
  <c r="C33" i="15"/>
  <c r="E25" i="15"/>
  <c r="E26" i="15" s="1"/>
  <c r="D26" i="15"/>
  <c r="D33" i="15"/>
  <c r="E33" i="15" l="1"/>
  <c r="E34" i="15" s="1"/>
  <c r="C47" i="15"/>
  <c r="D9" i="1"/>
  <c r="D9" i="5" s="1"/>
  <c r="F9" i="1"/>
  <c r="G25" i="15"/>
  <c r="G26" i="15" s="1"/>
  <c r="D37" i="15"/>
  <c r="A11" i="4"/>
  <c r="C37" i="15"/>
  <c r="C34" i="15" l="1"/>
  <c r="E37" i="15"/>
  <c r="E38" i="15" s="1"/>
  <c r="D34" i="15"/>
  <c r="C49" i="15"/>
  <c r="F8" i="5"/>
  <c r="G9" i="1"/>
  <c r="E8" i="5"/>
  <c r="E9" i="1"/>
  <c r="E9" i="5" s="1"/>
  <c r="F9" i="5"/>
  <c r="E8" i="17" l="1"/>
  <c r="G8" i="17" s="1"/>
  <c r="C16" i="17"/>
  <c r="C15" i="17" s="1"/>
  <c r="E7" i="17"/>
  <c r="D38" i="15"/>
  <c r="G45" i="17" s="1"/>
  <c r="C38" i="15"/>
  <c r="F44" i="17" s="1"/>
  <c r="C19" i="17"/>
  <c r="E19" i="17" s="1"/>
  <c r="G19" i="17" s="1"/>
  <c r="G17" i="17" s="1"/>
  <c r="G14" i="17" s="1"/>
  <c r="C11" i="17"/>
  <c r="E11" i="17" s="1"/>
  <c r="G11" i="17" s="1"/>
  <c r="C10" i="17"/>
  <c r="C18" i="17"/>
  <c r="G8" i="5"/>
  <c r="H9" i="1"/>
  <c r="C22" i="17"/>
  <c r="C21" i="17"/>
  <c r="E16" i="17"/>
  <c r="G9" i="5"/>
  <c r="F49" i="17" l="1"/>
  <c r="G49" i="17"/>
  <c r="G58" i="17"/>
  <c r="G56" i="17" s="1"/>
  <c r="F51" i="17"/>
  <c r="G51" i="17"/>
  <c r="F50" i="17"/>
  <c r="G44" i="17"/>
  <c r="G43" i="17" s="1"/>
  <c r="G52" i="17"/>
  <c r="F45" i="17"/>
  <c r="F43" i="17" s="1"/>
  <c r="H42" i="16" s="1"/>
  <c r="F52" i="17"/>
  <c r="G50" i="17"/>
  <c r="F58" i="17"/>
  <c r="F56" i="17" s="1"/>
  <c r="H45" i="16" s="1"/>
  <c r="G45" i="16" s="1"/>
  <c r="C6" i="17"/>
  <c r="C17" i="17"/>
  <c r="C14" i="17" s="1"/>
  <c r="E18" i="17"/>
  <c r="C9" i="17"/>
  <c r="E10" i="17"/>
  <c r="H8" i="5"/>
  <c r="C20" i="17"/>
  <c r="E20" i="17" s="1"/>
  <c r="E15" i="17"/>
  <c r="F16" i="17"/>
  <c r="F15" i="17" s="1"/>
  <c r="E6" i="17"/>
  <c r="F7" i="17"/>
  <c r="F6" i="17" s="1"/>
  <c r="H9" i="5"/>
  <c r="G84" i="1" l="1"/>
  <c r="F84" i="1"/>
  <c r="G48" i="17"/>
  <c r="F48" i="17"/>
  <c r="H43" i="16" s="1"/>
  <c r="G43" i="16" s="1"/>
  <c r="C5" i="17"/>
  <c r="I8" i="5"/>
  <c r="F10" i="17"/>
  <c r="F9" i="17" s="1"/>
  <c r="F5" i="17" s="1"/>
  <c r="H39" i="16" s="1"/>
  <c r="E9" i="17"/>
  <c r="E5" i="17" s="1"/>
  <c r="I9" i="1"/>
  <c r="I9" i="5" s="1"/>
  <c r="F18" i="17"/>
  <c r="F17" i="17" s="1"/>
  <c r="F14" i="17" s="1"/>
  <c r="H40" i="16" s="1"/>
  <c r="G40" i="16" s="1"/>
  <c r="E17" i="17"/>
  <c r="E14" i="17" s="1"/>
  <c r="G7" i="17"/>
  <c r="G20" i="17"/>
  <c r="F20" i="17"/>
  <c r="G42" i="16"/>
  <c r="G6" i="17"/>
  <c r="J9" i="1"/>
  <c r="J8" i="5"/>
  <c r="F82" i="1" l="1"/>
  <c r="G82" i="1"/>
  <c r="G83" i="1"/>
  <c r="F83" i="1"/>
  <c r="G10" i="17"/>
  <c r="G9" i="17" s="1"/>
  <c r="E4" i="17"/>
  <c r="D4" i="17" s="1"/>
  <c r="D83" i="5"/>
  <c r="G39" i="16"/>
  <c r="D84" i="5"/>
  <c r="H41" i="16"/>
  <c r="F4" i="17"/>
  <c r="E83" i="5"/>
  <c r="D82" i="5"/>
  <c r="D92" i="1"/>
  <c r="G5" i="17"/>
  <c r="J9" i="5"/>
  <c r="K8" i="5"/>
  <c r="K9" i="1"/>
  <c r="B14" i="19" l="1"/>
  <c r="G4" i="17"/>
  <c r="E84" i="5"/>
  <c r="E82" i="5"/>
  <c r="E92" i="1"/>
  <c r="F83" i="5"/>
  <c r="D92" i="5"/>
  <c r="G41" i="16"/>
  <c r="L8" i="5"/>
  <c r="L9" i="1"/>
  <c r="K9" i="5"/>
  <c r="H83" i="1" l="1"/>
  <c r="G83" i="5"/>
  <c r="E92" i="5"/>
  <c r="F82" i="5"/>
  <c r="F92" i="1"/>
  <c r="F84" i="5"/>
  <c r="L9" i="5"/>
  <c r="M9" i="1"/>
  <c r="M8" i="5"/>
  <c r="H82" i="1" l="1"/>
  <c r="G82" i="5"/>
  <c r="G92" i="1"/>
  <c r="F92" i="5"/>
  <c r="G84" i="5"/>
  <c r="H84" i="1"/>
  <c r="H83" i="5"/>
  <c r="M9" i="5"/>
  <c r="N9" i="1"/>
  <c r="N8" i="5"/>
  <c r="J83" i="1" l="1"/>
  <c r="I83" i="5"/>
  <c r="H84" i="5"/>
  <c r="G92" i="5"/>
  <c r="H82" i="5"/>
  <c r="H92" i="1"/>
  <c r="O9" i="1"/>
  <c r="O8" i="5"/>
  <c r="N9" i="5"/>
  <c r="J84" i="1" l="1"/>
  <c r="I84" i="5"/>
  <c r="J82" i="1"/>
  <c r="I82" i="5"/>
  <c r="I92" i="1"/>
  <c r="K83" i="1"/>
  <c r="J83" i="5"/>
  <c r="H92" i="5"/>
  <c r="O9" i="5"/>
  <c r="P9" i="1"/>
  <c r="P8" i="5"/>
  <c r="I92" i="5" l="1"/>
  <c r="K82" i="1"/>
  <c r="J82" i="5"/>
  <c r="J92" i="1"/>
  <c r="K83" i="5"/>
  <c r="L83" i="1"/>
  <c r="K84" i="1"/>
  <c r="J84" i="5"/>
  <c r="P9" i="5"/>
  <c r="Q9" i="1"/>
  <c r="Q8" i="5"/>
  <c r="J92" i="5" l="1"/>
  <c r="L83" i="5"/>
  <c r="L82" i="1"/>
  <c r="K82" i="5"/>
  <c r="K92" i="1"/>
  <c r="K84" i="5"/>
  <c r="L84" i="1"/>
  <c r="Q9" i="5"/>
  <c r="R9" i="1"/>
  <c r="R8" i="5"/>
  <c r="K92" i="5" l="1"/>
  <c r="L82" i="5"/>
  <c r="L92" i="1"/>
  <c r="N83" i="1"/>
  <c r="M83" i="5"/>
  <c r="L84" i="5"/>
  <c r="R9" i="5"/>
  <c r="N84" i="1" l="1"/>
  <c r="M84" i="5"/>
  <c r="N83" i="5"/>
  <c r="O83" i="1"/>
  <c r="N82" i="1"/>
  <c r="M82" i="5"/>
  <c r="M92" i="1"/>
  <c r="L92" i="5"/>
  <c r="M92" i="5" l="1"/>
  <c r="O82" i="1"/>
  <c r="N82" i="5"/>
  <c r="N92" i="1"/>
  <c r="O83" i="5"/>
  <c r="P83" i="1"/>
  <c r="O84" i="1"/>
  <c r="N84" i="5"/>
  <c r="P82" i="1" l="1"/>
  <c r="O82" i="5"/>
  <c r="O92" i="1"/>
  <c r="N92" i="5"/>
  <c r="P84" i="1"/>
  <c r="O84" i="5"/>
  <c r="Q83" i="1"/>
  <c r="P83" i="5"/>
  <c r="Q84" i="1" l="1"/>
  <c r="P84" i="5"/>
  <c r="R83" i="1"/>
  <c r="R83" i="5" s="1"/>
  <c r="Q83" i="5"/>
  <c r="O92" i="5"/>
  <c r="Q82" i="1"/>
  <c r="P82" i="5"/>
  <c r="P92" i="1"/>
  <c r="R82" i="1" l="1"/>
  <c r="Q82" i="5"/>
  <c r="Q92" i="1"/>
  <c r="P92" i="5"/>
  <c r="R84" i="1"/>
  <c r="R84" i="5" s="1"/>
  <c r="Q84" i="5"/>
  <c r="Q92" i="5" l="1"/>
  <c r="R82" i="5"/>
  <c r="R92" i="1"/>
  <c r="R92" i="5" l="1"/>
  <c r="E54" i="17"/>
  <c r="F54" i="17" l="1"/>
  <c r="F62" i="17" s="1"/>
  <c r="F71" i="17" s="1"/>
  <c r="B21" i="19"/>
  <c r="B25" i="19" s="1"/>
  <c r="B35" i="19" s="1"/>
  <c r="C25" i="19"/>
  <c r="E21" i="19" s="1"/>
  <c r="E62" i="17"/>
  <c r="G54" i="17"/>
  <c r="H44" i="16" l="1"/>
  <c r="G44" i="16" s="1"/>
  <c r="G47" i="16" s="1"/>
  <c r="B9" i="19" s="1"/>
  <c r="B38" i="19" s="1"/>
  <c r="D107" i="5"/>
  <c r="D116" i="1"/>
  <c r="E22" i="19"/>
  <c r="E25" i="19"/>
  <c r="E14" i="19"/>
  <c r="E15" i="19"/>
  <c r="E20" i="19"/>
  <c r="E17" i="19"/>
  <c r="E19" i="19"/>
  <c r="E16" i="19"/>
  <c r="E23" i="19"/>
  <c r="C35" i="19"/>
  <c r="D25" i="19" s="1"/>
  <c r="E18" i="19"/>
  <c r="G62" i="17"/>
  <c r="D62" i="17"/>
  <c r="E71" i="17"/>
  <c r="D71" i="17" s="1"/>
  <c r="B27" i="19" l="1"/>
  <c r="G49" i="16"/>
  <c r="F24" i="1" s="1"/>
  <c r="D12" i="5"/>
  <c r="H47" i="16"/>
  <c r="C9" i="19" s="1"/>
  <c r="D19" i="19"/>
  <c r="D29" i="19"/>
  <c r="D16" i="19"/>
  <c r="D32" i="19"/>
  <c r="D33" i="19"/>
  <c r="D31" i="19"/>
  <c r="D17" i="19"/>
  <c r="D30" i="19"/>
  <c r="D35" i="19"/>
  <c r="D22" i="19"/>
  <c r="D14" i="19"/>
  <c r="D18" i="19"/>
  <c r="G35" i="19"/>
  <c r="D15" i="19"/>
  <c r="D20" i="19"/>
  <c r="D23" i="19"/>
  <c r="D21" i="19"/>
  <c r="D116" i="5"/>
  <c r="D118" i="5" s="1"/>
  <c r="D118" i="1"/>
  <c r="C26" i="8" s="1"/>
  <c r="C33" i="8" s="1"/>
  <c r="E107" i="5"/>
  <c r="E116" i="1"/>
  <c r="H23" i="17"/>
  <c r="H56" i="17"/>
  <c r="H8" i="17"/>
  <c r="H36" i="17"/>
  <c r="H28" i="17"/>
  <c r="H48" i="17"/>
  <c r="H55" i="17"/>
  <c r="H31" i="17"/>
  <c r="H15" i="17"/>
  <c r="H49" i="17"/>
  <c r="H25" i="17"/>
  <c r="H57" i="17"/>
  <c r="H16" i="17"/>
  <c r="H29" i="17"/>
  <c r="H37" i="17"/>
  <c r="H20" i="17"/>
  <c r="H10" i="17"/>
  <c r="H39" i="17"/>
  <c r="H52" i="17"/>
  <c r="H21" i="17"/>
  <c r="H59" i="17"/>
  <c r="H6" i="17"/>
  <c r="H27" i="17"/>
  <c r="H45" i="17"/>
  <c r="H26" i="17"/>
  <c r="H35" i="17"/>
  <c r="H32" i="17"/>
  <c r="H33" i="17"/>
  <c r="H50" i="17"/>
  <c r="H18" i="17"/>
  <c r="H51" i="17"/>
  <c r="H4" i="17"/>
  <c r="H5" i="17"/>
  <c r="H58" i="17"/>
  <c r="H11" i="17"/>
  <c r="H24" i="17"/>
  <c r="H7" i="17"/>
  <c r="H38" i="17"/>
  <c r="H9" i="17"/>
  <c r="H34" i="17"/>
  <c r="H30" i="17"/>
  <c r="H22" i="17"/>
  <c r="H19" i="17"/>
  <c r="H14" i="17"/>
  <c r="H44" i="17"/>
  <c r="G71" i="17"/>
  <c r="H60" i="17" s="1"/>
  <c r="H17" i="17"/>
  <c r="H54" i="17"/>
  <c r="G24" i="1" l="1"/>
  <c r="F25" i="1"/>
  <c r="F25" i="5" s="1"/>
  <c r="F24" i="5"/>
  <c r="I42" i="16"/>
  <c r="I44" i="16"/>
  <c r="D13" i="1"/>
  <c r="D53" i="1" s="1"/>
  <c r="C13" i="8" s="1"/>
  <c r="C20" i="8" s="1"/>
  <c r="C36" i="8" s="1"/>
  <c r="C38" i="8" s="1"/>
  <c r="F13" i="1"/>
  <c r="I41" i="16"/>
  <c r="I39" i="16"/>
  <c r="H49" i="16"/>
  <c r="I40" i="16"/>
  <c r="I45" i="16"/>
  <c r="I43" i="16"/>
  <c r="C27" i="19"/>
  <c r="C38" i="19"/>
  <c r="G38" i="19" s="1"/>
  <c r="G9" i="19"/>
  <c r="D6" i="19"/>
  <c r="D7" i="19"/>
  <c r="F107" i="5"/>
  <c r="F116" i="1"/>
  <c r="E118" i="1"/>
  <c r="D26" i="8" s="1"/>
  <c r="D33" i="8" s="1"/>
  <c r="E116" i="5"/>
  <c r="E118" i="5" s="1"/>
  <c r="D120" i="5"/>
  <c r="C16" i="11"/>
  <c r="C22" i="11" s="1"/>
  <c r="C46" i="11"/>
  <c r="C50" i="11" s="1"/>
  <c r="H24" i="1" l="1"/>
  <c r="G24" i="5"/>
  <c r="G25" i="1"/>
  <c r="G25" i="5" s="1"/>
  <c r="E12" i="5"/>
  <c r="D13" i="5"/>
  <c r="D53" i="5" s="1"/>
  <c r="C7" i="11" s="1"/>
  <c r="C11" i="11" s="1"/>
  <c r="C25" i="11" s="1"/>
  <c r="E13" i="1"/>
  <c r="E53" i="1" s="1"/>
  <c r="D13" i="8" s="1"/>
  <c r="D20" i="8" s="1"/>
  <c r="D36" i="8" s="1"/>
  <c r="D38" i="8" s="1"/>
  <c r="F12" i="5"/>
  <c r="D121" i="1"/>
  <c r="D124" i="1" s="1"/>
  <c r="I47" i="16"/>
  <c r="G27" i="19"/>
  <c r="F116" i="5"/>
  <c r="F118" i="5" s="1"/>
  <c r="F118" i="1"/>
  <c r="E26" i="8" s="1"/>
  <c r="E33" i="8" s="1"/>
  <c r="G107" i="5"/>
  <c r="G116" i="1"/>
  <c r="H107" i="1"/>
  <c r="D46" i="11"/>
  <c r="D50" i="11" s="1"/>
  <c r="E120" i="5"/>
  <c r="D16" i="11"/>
  <c r="D22" i="11" s="1"/>
  <c r="F53" i="1"/>
  <c r="F13" i="5"/>
  <c r="F53" i="5" s="1"/>
  <c r="H24" i="5" l="1"/>
  <c r="H25" i="1"/>
  <c r="H25" i="5" s="1"/>
  <c r="D55" i="5"/>
  <c r="C39" i="11"/>
  <c r="C41" i="11" s="1"/>
  <c r="C53" i="11" s="1"/>
  <c r="D121" i="5"/>
  <c r="D125" i="5" s="1"/>
  <c r="G13" i="1"/>
  <c r="G53" i="1" s="1"/>
  <c r="D36" i="21" s="1"/>
  <c r="G12" i="5"/>
  <c r="E13" i="5"/>
  <c r="E53" i="5" s="1"/>
  <c r="E121" i="5" s="1"/>
  <c r="E121" i="1"/>
  <c r="E124" i="1" s="1"/>
  <c r="H107" i="5"/>
  <c r="H116" i="1"/>
  <c r="G116" i="5"/>
  <c r="G118" i="5" s="1"/>
  <c r="G118" i="1"/>
  <c r="H13" i="1"/>
  <c r="H12" i="5"/>
  <c r="E46" i="11"/>
  <c r="E50" i="11" s="1"/>
  <c r="E16" i="11"/>
  <c r="E22" i="11" s="1"/>
  <c r="F120" i="5"/>
  <c r="F121" i="5"/>
  <c r="F55" i="5"/>
  <c r="E39" i="11"/>
  <c r="E41" i="11" s="1"/>
  <c r="E7" i="11"/>
  <c r="E11" i="11" s="1"/>
  <c r="F121" i="1"/>
  <c r="E13" i="8"/>
  <c r="E20" i="8" s="1"/>
  <c r="E36" i="8" s="1"/>
  <c r="E38" i="8" s="1"/>
  <c r="F26" i="8" l="1"/>
  <c r="F33" i="8" s="1"/>
  <c r="D37" i="21"/>
  <c r="D38" i="21" s="1"/>
  <c r="D39" i="21" s="1"/>
  <c r="K37" i="21"/>
  <c r="E125" i="5"/>
  <c r="F125" i="5" s="1"/>
  <c r="G13" i="5"/>
  <c r="G53" i="5" s="1"/>
  <c r="G55" i="5" s="1"/>
  <c r="D123" i="5"/>
  <c r="F124" i="1"/>
  <c r="E123" i="5"/>
  <c r="D7" i="11"/>
  <c r="D11" i="11" s="1"/>
  <c r="D25" i="11" s="1"/>
  <c r="E55" i="5"/>
  <c r="D39" i="11"/>
  <c r="D41" i="11" s="1"/>
  <c r="D53" i="11" s="1"/>
  <c r="F123" i="5"/>
  <c r="E53" i="11"/>
  <c r="E25" i="11"/>
  <c r="H13" i="5"/>
  <c r="H53" i="5" s="1"/>
  <c r="H53" i="1"/>
  <c r="I116" i="1"/>
  <c r="I107" i="5"/>
  <c r="J107" i="1"/>
  <c r="H116" i="5"/>
  <c r="H118" i="5" s="1"/>
  <c r="H118" i="1"/>
  <c r="G26" i="8" s="1"/>
  <c r="G33" i="8" s="1"/>
  <c r="F13" i="8"/>
  <c r="F20" i="8" s="1"/>
  <c r="G121" i="1"/>
  <c r="G120" i="5"/>
  <c r="F16" i="11"/>
  <c r="F22" i="11" s="1"/>
  <c r="F46" i="11"/>
  <c r="F50" i="11" s="1"/>
  <c r="I12" i="5"/>
  <c r="I13" i="1"/>
  <c r="F36" i="8" l="1"/>
  <c r="F38" i="8" s="1"/>
  <c r="F39" i="11"/>
  <c r="F41" i="11" s="1"/>
  <c r="F53" i="11" s="1"/>
  <c r="G121" i="5"/>
  <c r="G123" i="5" s="1"/>
  <c r="F7" i="11"/>
  <c r="F11" i="11" s="1"/>
  <c r="F25" i="11" s="1"/>
  <c r="G124" i="1"/>
  <c r="H121" i="1"/>
  <c r="G13" i="8"/>
  <c r="G20" i="8" s="1"/>
  <c r="G36" i="8" s="1"/>
  <c r="I53" i="1"/>
  <c r="I13" i="5"/>
  <c r="I53" i="5" s="1"/>
  <c r="H121" i="5"/>
  <c r="G39" i="11"/>
  <c r="G41" i="11" s="1"/>
  <c r="G7" i="11"/>
  <c r="G11" i="11" s="1"/>
  <c r="H55" i="5"/>
  <c r="G46" i="11"/>
  <c r="G50" i="11" s="1"/>
  <c r="H120" i="5"/>
  <c r="G16" i="11"/>
  <c r="G22" i="11" s="1"/>
  <c r="K107" i="1"/>
  <c r="J107" i="5"/>
  <c r="J116" i="1"/>
  <c r="J12" i="5"/>
  <c r="J13" i="1"/>
  <c r="I118" i="1"/>
  <c r="H26" i="8" s="1"/>
  <c r="H33" i="8" s="1"/>
  <c r="I116" i="5"/>
  <c r="I118" i="5" s="1"/>
  <c r="G38" i="8" l="1"/>
  <c r="H124" i="1"/>
  <c r="G125" i="5"/>
  <c r="H125" i="5" s="1"/>
  <c r="H123" i="5"/>
  <c r="J53" i="1"/>
  <c r="J13" i="5"/>
  <c r="J53" i="5" s="1"/>
  <c r="K13" i="1"/>
  <c r="K12" i="5"/>
  <c r="G53" i="11"/>
  <c r="J116" i="5"/>
  <c r="J118" i="5" s="1"/>
  <c r="J118" i="1"/>
  <c r="I26" i="8" s="1"/>
  <c r="I33" i="8" s="1"/>
  <c r="H7" i="11"/>
  <c r="H11" i="11" s="1"/>
  <c r="I55" i="5"/>
  <c r="H39" i="11"/>
  <c r="H41" i="11" s="1"/>
  <c r="I121" i="5"/>
  <c r="I121" i="1"/>
  <c r="H13" i="8"/>
  <c r="H20" i="8" s="1"/>
  <c r="H36" i="8" s="1"/>
  <c r="I120" i="5"/>
  <c r="H16" i="11"/>
  <c r="H22" i="11" s="1"/>
  <c r="H46" i="11"/>
  <c r="H50" i="11" s="1"/>
  <c r="L107" i="1"/>
  <c r="K107" i="5"/>
  <c r="K116" i="1"/>
  <c r="G25" i="11"/>
  <c r="H38" i="8" l="1"/>
  <c r="I124" i="1"/>
  <c r="I125" i="5"/>
  <c r="H53" i="11"/>
  <c r="H25" i="11"/>
  <c r="L12" i="5"/>
  <c r="L13" i="1"/>
  <c r="I46" i="11"/>
  <c r="I50" i="11" s="1"/>
  <c r="I16" i="11"/>
  <c r="I22" i="11" s="1"/>
  <c r="J120" i="5"/>
  <c r="K118" i="1"/>
  <c r="K116" i="5"/>
  <c r="K118" i="5" s="1"/>
  <c r="L107" i="5"/>
  <c r="L116" i="1"/>
  <c r="I13" i="8"/>
  <c r="I20" i="8" s="1"/>
  <c r="I36" i="8" s="1"/>
  <c r="J121" i="1"/>
  <c r="I123" i="5"/>
  <c r="K13" i="5"/>
  <c r="K53" i="5" s="1"/>
  <c r="K53" i="1"/>
  <c r="F36" i="21" s="1"/>
  <c r="I7" i="11"/>
  <c r="I11" i="11" s="1"/>
  <c r="I39" i="11"/>
  <c r="I41" i="11" s="1"/>
  <c r="J121" i="5"/>
  <c r="J55" i="5"/>
  <c r="I38" i="8" l="1"/>
  <c r="L37" i="21"/>
  <c r="J26" i="8"/>
  <c r="J33" i="8" s="1"/>
  <c r="F37" i="21"/>
  <c r="F38" i="21" s="1"/>
  <c r="F39" i="21" s="1"/>
  <c r="J124" i="1"/>
  <c r="I25" i="11"/>
  <c r="J123" i="5"/>
  <c r="J125" i="5"/>
  <c r="K121" i="1"/>
  <c r="J13" i="8"/>
  <c r="J20" i="8" s="1"/>
  <c r="M12" i="5"/>
  <c r="M13" i="1"/>
  <c r="L53" i="1"/>
  <c r="L13" i="5"/>
  <c r="L53" i="5" s="1"/>
  <c r="M107" i="5"/>
  <c r="N107" i="1"/>
  <c r="M116" i="1"/>
  <c r="J16" i="11"/>
  <c r="J22" i="11" s="1"/>
  <c r="J46" i="11"/>
  <c r="J50" i="11" s="1"/>
  <c r="K120" i="5"/>
  <c r="L116" i="5"/>
  <c r="L118" i="5" s="1"/>
  <c r="L118" i="1"/>
  <c r="K26" i="8" s="1"/>
  <c r="K33" i="8" s="1"/>
  <c r="J7" i="11"/>
  <c r="J11" i="11" s="1"/>
  <c r="J39" i="11"/>
  <c r="J41" i="11" s="1"/>
  <c r="K55" i="5"/>
  <c r="K121" i="5"/>
  <c r="I53" i="11"/>
  <c r="J36" i="8" l="1"/>
  <c r="J38" i="8" s="1"/>
  <c r="K124" i="1"/>
  <c r="K125" i="5"/>
  <c r="M13" i="5"/>
  <c r="M53" i="5" s="1"/>
  <c r="M53" i="1"/>
  <c r="K123" i="5"/>
  <c r="J53" i="11"/>
  <c r="N107" i="5"/>
  <c r="N116" i="1"/>
  <c r="O107" i="1"/>
  <c r="N12" i="5"/>
  <c r="N13" i="1"/>
  <c r="J25" i="11"/>
  <c r="M118" i="1"/>
  <c r="L26" i="8" s="1"/>
  <c r="L33" i="8" s="1"/>
  <c r="M116" i="5"/>
  <c r="M118" i="5" s="1"/>
  <c r="K7" i="11"/>
  <c r="K11" i="11" s="1"/>
  <c r="K39" i="11"/>
  <c r="K41" i="11" s="1"/>
  <c r="L55" i="5"/>
  <c r="L121" i="5"/>
  <c r="K16" i="11"/>
  <c r="K22" i="11" s="1"/>
  <c r="K46" i="11"/>
  <c r="K50" i="11" s="1"/>
  <c r="L120" i="5"/>
  <c r="L121" i="1"/>
  <c r="K13" i="8"/>
  <c r="K20" i="8" s="1"/>
  <c r="K36" i="8" s="1"/>
  <c r="K38" i="8" l="1"/>
  <c r="L124" i="1"/>
  <c r="L123" i="5"/>
  <c r="N13" i="5"/>
  <c r="N53" i="5" s="1"/>
  <c r="N53" i="1"/>
  <c r="O116" i="1"/>
  <c r="O107" i="5"/>
  <c r="P107" i="1"/>
  <c r="O12" i="5"/>
  <c r="O13" i="1"/>
  <c r="L125" i="5"/>
  <c r="K25" i="11"/>
  <c r="L13" i="8"/>
  <c r="L20" i="8" s="1"/>
  <c r="L36" i="8" s="1"/>
  <c r="M121" i="1"/>
  <c r="K53" i="11"/>
  <c r="L39" i="11"/>
  <c r="L41" i="11" s="1"/>
  <c r="L7" i="11"/>
  <c r="L11" i="11" s="1"/>
  <c r="M55" i="5"/>
  <c r="M121" i="5"/>
  <c r="N118" i="1"/>
  <c r="M26" i="8" s="1"/>
  <c r="M33" i="8" s="1"/>
  <c r="N116" i="5"/>
  <c r="N118" i="5" s="1"/>
  <c r="L16" i="11"/>
  <c r="L22" i="11" s="1"/>
  <c r="L46" i="11"/>
  <c r="L50" i="11" s="1"/>
  <c r="M120" i="5"/>
  <c r="L38" i="8" l="1"/>
  <c r="M124" i="1"/>
  <c r="L53" i="11"/>
  <c r="Q107" i="1"/>
  <c r="P116" i="1"/>
  <c r="P107" i="5"/>
  <c r="O118" i="1"/>
  <c r="O116" i="5"/>
  <c r="O118" i="5" s="1"/>
  <c r="N121" i="1"/>
  <c r="M13" i="8"/>
  <c r="M20" i="8" s="1"/>
  <c r="M36" i="8" s="1"/>
  <c r="O13" i="5"/>
  <c r="O53" i="5" s="1"/>
  <c r="O53" i="1"/>
  <c r="H36" i="21" s="1"/>
  <c r="N120" i="5"/>
  <c r="M16" i="11"/>
  <c r="M22" i="11" s="1"/>
  <c r="M46" i="11"/>
  <c r="M50" i="11" s="1"/>
  <c r="M123" i="5"/>
  <c r="M125" i="5"/>
  <c r="N121" i="5"/>
  <c r="N55" i="5"/>
  <c r="M39" i="11"/>
  <c r="M41" i="11" s="1"/>
  <c r="M7" i="11"/>
  <c r="M11" i="11" s="1"/>
  <c r="L25" i="11"/>
  <c r="P13" i="1"/>
  <c r="P12" i="5"/>
  <c r="M38" i="8" l="1"/>
  <c r="N26" i="8"/>
  <c r="N33" i="8" s="1"/>
  <c r="H37" i="21"/>
  <c r="H38" i="21" s="1"/>
  <c r="H39" i="21" s="1"/>
  <c r="M37" i="21"/>
  <c r="N124" i="1"/>
  <c r="N125" i="5"/>
  <c r="M25" i="11"/>
  <c r="N16" i="11"/>
  <c r="N22" i="11" s="1"/>
  <c r="N46" i="11"/>
  <c r="N50" i="11" s="1"/>
  <c r="O120" i="5"/>
  <c r="P118" i="1"/>
  <c r="O26" i="8" s="1"/>
  <c r="O33" i="8" s="1"/>
  <c r="P116" i="5"/>
  <c r="P118" i="5" s="1"/>
  <c r="Q12" i="5"/>
  <c r="Q13" i="1"/>
  <c r="P13" i="5"/>
  <c r="P53" i="5" s="1"/>
  <c r="P53" i="1"/>
  <c r="M53" i="11"/>
  <c r="O121" i="1"/>
  <c r="N13" i="8"/>
  <c r="N20" i="8" s="1"/>
  <c r="N36" i="8" s="1"/>
  <c r="Q116" i="1"/>
  <c r="Q107" i="5"/>
  <c r="R107" i="1"/>
  <c r="N39" i="11"/>
  <c r="N41" i="11" s="1"/>
  <c r="O121" i="5"/>
  <c r="O55" i="5"/>
  <c r="N7" i="11"/>
  <c r="N11" i="11" s="1"/>
  <c r="N123" i="5"/>
  <c r="N38" i="8" l="1"/>
  <c r="O124" i="1"/>
  <c r="N25" i="11"/>
  <c r="O125" i="5"/>
  <c r="N53" i="11"/>
  <c r="Q118" i="1"/>
  <c r="P26" i="8" s="1"/>
  <c r="P33" i="8" s="1"/>
  <c r="Q116" i="5"/>
  <c r="Q118" i="5" s="1"/>
  <c r="O39" i="11"/>
  <c r="O41" i="11" s="1"/>
  <c r="O7" i="11"/>
  <c r="O11" i="11" s="1"/>
  <c r="P55" i="5"/>
  <c r="P121" i="5"/>
  <c r="O46" i="11"/>
  <c r="O50" i="11" s="1"/>
  <c r="P120" i="5"/>
  <c r="O16" i="11"/>
  <c r="O22" i="11" s="1"/>
  <c r="O123" i="5"/>
  <c r="P121" i="1"/>
  <c r="O13" i="8"/>
  <c r="O20" i="8" s="1"/>
  <c r="O36" i="8" s="1"/>
  <c r="R107" i="5"/>
  <c r="R116" i="1"/>
  <c r="Q53" i="1"/>
  <c r="Q13" i="5"/>
  <c r="Q53" i="5" s="1"/>
  <c r="R13" i="1"/>
  <c r="R12" i="5"/>
  <c r="O38" i="8" l="1"/>
  <c r="P124" i="1"/>
  <c r="P123" i="5"/>
  <c r="O25" i="11"/>
  <c r="O53" i="11"/>
  <c r="R53" i="1"/>
  <c r="R13" i="5"/>
  <c r="R53" i="5" s="1"/>
  <c r="Q121" i="5"/>
  <c r="P7" i="11"/>
  <c r="P11" i="11" s="1"/>
  <c r="P39" i="11"/>
  <c r="P41" i="11" s="1"/>
  <c r="Q55" i="5"/>
  <c r="P46" i="11"/>
  <c r="P50" i="11" s="1"/>
  <c r="Q120" i="5"/>
  <c r="P16" i="11"/>
  <c r="P22" i="11" s="1"/>
  <c r="P13" i="8"/>
  <c r="P20" i="8" s="1"/>
  <c r="P36" i="8" s="1"/>
  <c r="Q121" i="1"/>
  <c r="R116" i="5"/>
  <c r="R118" i="5" s="1"/>
  <c r="R118" i="1"/>
  <c r="Q26" i="8" s="1"/>
  <c r="Q33" i="8" s="1"/>
  <c r="P125" i="5"/>
  <c r="P38" i="8" l="1"/>
  <c r="Q124" i="1"/>
  <c r="Q125" i="5"/>
  <c r="P25" i="11"/>
  <c r="P53" i="11"/>
  <c r="Q123" i="5"/>
  <c r="Q16" i="11"/>
  <c r="Q22" i="11" s="1"/>
  <c r="Q46" i="11"/>
  <c r="R120" i="5"/>
  <c r="D12" i="7"/>
  <c r="Q7" i="11"/>
  <c r="R121" i="5"/>
  <c r="Q39" i="11"/>
  <c r="Q41" i="11" s="1"/>
  <c r="R55" i="5"/>
  <c r="D11" i="7"/>
  <c r="Q13" i="8"/>
  <c r="Q20" i="8" s="1"/>
  <c r="Q36" i="8" s="1"/>
  <c r="R121" i="1"/>
  <c r="Q38" i="8" l="1"/>
  <c r="R124" i="1"/>
  <c r="R125" i="5"/>
  <c r="C8" i="13"/>
  <c r="C9" i="13" s="1"/>
  <c r="G10" i="7" s="1"/>
  <c r="R123" i="5"/>
  <c r="Q11" i="13"/>
  <c r="R12" i="13" s="1"/>
  <c r="S12" i="13" s="1"/>
  <c r="T12" i="13" s="1"/>
  <c r="U12" i="13" s="1"/>
  <c r="V12" i="13" s="1"/>
  <c r="W12" i="13" s="1"/>
  <c r="X12" i="13" s="1"/>
  <c r="Y12" i="13" s="1"/>
  <c r="Z12" i="13" s="1"/>
  <c r="AA12" i="13" s="1"/>
  <c r="AB12" i="13" s="1"/>
  <c r="F13" i="7"/>
  <c r="Q13" i="13" l="1"/>
  <c r="Q14" i="13" s="1"/>
  <c r="C10" i="7" l="1"/>
  <c r="C17" i="13"/>
  <c r="D10" i="7" s="1"/>
  <c r="Q8" i="11"/>
  <c r="Q48" i="11" l="1"/>
  <c r="Q50" i="11" s="1"/>
  <c r="Q53" i="11" s="1"/>
  <c r="Q11" i="11"/>
  <c r="Q25" i="11" s="1"/>
  <c r="D13" i="7"/>
  <c r="F12" i="7"/>
  <c r="D14" i="7" l="1"/>
  <c r="D15" i="7" s="1"/>
  <c r="C17" i="7" s="1"/>
  <c r="C19" i="7" s="1"/>
  <c r="G1" i="24"/>
  <c r="G1" i="27"/>
  <c r="G1" i="17"/>
  <c r="C29" i="11"/>
  <c r="C30" i="11"/>
  <c r="C57" i="11"/>
  <c r="C5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29AC8E59-ADB2-440C-83A1-D1B309900FAF}">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Bedjuhhov Mihhail</author>
    <author>Kersti Raja</author>
  </authors>
  <commentList>
    <comment ref="C4" authorId="0" shapeId="0" xr:uid="{099EFB94-2A52-43FA-9F2D-9EC25DB951E9}">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6223984A-3883-4EEA-80C0-339663B2F3A5}">
      <text>
        <r>
          <rPr>
            <sz val="9"/>
            <color indexed="81"/>
            <rFont val="Tahoma"/>
            <family val="2"/>
            <charset val="204"/>
          </rPr>
          <t>Kesk elektrihind (15.05.24) + võrguteenus</t>
        </r>
      </text>
    </comment>
    <comment ref="C6" authorId="0" shapeId="0" xr:uid="{00000000-0006-0000-0D00-000001000000}">
      <text>
        <r>
          <rPr>
            <sz val="9"/>
            <color indexed="81"/>
            <rFont val="Tahoma"/>
            <family val="2"/>
            <charset val="204"/>
          </rPr>
          <t>OÜ Järve Biopuhastus veetariifid alates 01.07.2023.a</t>
        </r>
      </text>
    </comment>
    <comment ref="C8" authorId="0" shapeId="0" xr:uid="{00000000-0006-0000-0D00-000002000000}">
      <text>
        <r>
          <rPr>
            <sz val="9"/>
            <color indexed="81"/>
            <rFont val="Tahoma"/>
            <family val="2"/>
            <charset val="204"/>
          </rPr>
          <t>OÜ Järve Biopuhastus veetariifid alates 01.07.2023.a</t>
        </r>
      </text>
    </comment>
    <comment ref="C47" authorId="1" shapeId="0" xr:uid="{46E804CB-0B50-4AE3-A0EC-B38141474515}">
      <text>
        <r>
          <rPr>
            <b/>
            <sz val="9"/>
            <color indexed="81"/>
            <rFont val="Segoe UI"/>
            <charset val="1"/>
          </rPr>
          <t>Kersti Raja:</t>
        </r>
        <r>
          <rPr>
            <sz val="9"/>
            <color indexed="81"/>
            <rFont val="Segoe UI"/>
            <charset val="1"/>
          </rPr>
          <t xml:space="preserve">
arvestatud on hoones vee tarbijateks hoones ruume üürivaid resident-ettevõtteid ja stuudioid kasutavaid produktsioone/üritusturundusettevõtteid (vastavalt Töötajad ja külastajad). Varem läbi viidud stuudiote benchmarkingu põhjal teame, et tegevuste läbiviimisel (nt filmivõtted) on inimeste tihedus stuudios ligikaudu 1 inimene (Töötajad ja külastajad) 20 m² üüritava pinna kohta ürituse ajal. Seega lähtume konservatiivsest kasvuprognoosist stuudiopindade üüri osas (esimestel aastatel 25%, seejärel 50% ja siis 75%), kui palju stuudiotes vett tarbitakse. Näiteks esimestel aastatel oli 25% täituvusega üüritud stuudiopinnal keskmiselt 92 inimest korraga.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0E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0E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0E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0E00-000004000000}">
      <text>
        <r>
          <rPr>
            <b/>
            <sz val="9"/>
            <color indexed="81"/>
            <rFont val="Segoe UI"/>
            <family val="2"/>
          </rPr>
          <t>Kersti Raja:</t>
        </r>
        <r>
          <rPr>
            <sz val="9"/>
            <color indexed="81"/>
            <rFont val="Segoe UI"/>
            <family val="2"/>
          </rPr>
          <t xml:space="preserve">
sisaldab kommunaalkulusid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0F00-000001000000}">
      <text>
        <r>
          <rPr>
            <sz val="9"/>
            <color indexed="81"/>
            <rFont val="Tahoma"/>
            <family val="2"/>
            <charset val="204"/>
          </rPr>
          <t xml:space="preserve">Только постоянные резиденты Studio.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Bedjuhhov Mihhail</author>
    <author>Kersti Raja</author>
  </authors>
  <commentList>
    <comment ref="C4" authorId="0" shapeId="0" xr:uid="{9999092D-0964-4452-AB1E-635DC5612D6F}">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C484D935-4B1F-4C42-A231-CEBBC4114DE1}">
      <text>
        <r>
          <rPr>
            <sz val="9"/>
            <color indexed="81"/>
            <rFont val="Tahoma"/>
            <family val="2"/>
            <charset val="204"/>
          </rPr>
          <t>Kesk elektrihind (15.05.24) + võrguteenus</t>
        </r>
      </text>
    </comment>
    <comment ref="C6" authorId="0" shapeId="0" xr:uid="{B60B5AFD-C443-45FD-A020-172AB34B9FCD}">
      <text>
        <r>
          <rPr>
            <sz val="9"/>
            <color indexed="81"/>
            <rFont val="Tahoma"/>
            <family val="2"/>
            <charset val="204"/>
          </rPr>
          <t>OÜ Järve Biopuhastus veetariifid alates 01.07.2023.a</t>
        </r>
      </text>
    </comment>
    <comment ref="C8" authorId="0" shapeId="0" xr:uid="{05AF9A96-7D6C-44CE-B2B1-A15D90CECEE6}">
      <text>
        <r>
          <rPr>
            <sz val="9"/>
            <color indexed="81"/>
            <rFont val="Tahoma"/>
            <family val="2"/>
            <charset val="204"/>
          </rPr>
          <t>OÜ Järve Biopuhastus veetariifid alates 01.07.2023.a</t>
        </r>
      </text>
    </comment>
    <comment ref="C47" authorId="1" shapeId="0" xr:uid="{3045AD34-2F8E-478D-96E1-46063A26F661}">
      <text>
        <r>
          <rPr>
            <b/>
            <sz val="9"/>
            <color indexed="81"/>
            <rFont val="Segoe UI"/>
            <charset val="1"/>
          </rPr>
          <t>Kersti Raja:</t>
        </r>
        <r>
          <rPr>
            <sz val="9"/>
            <color indexed="81"/>
            <rFont val="Segoe UI"/>
            <charset val="1"/>
          </rPr>
          <t xml:space="preserve">
arvestatud on hoones vee tarbijateks hoones ruume üürivaid resident-ettevõtteid ja stuudioid kasutavaid produktsioone/üritusturundusettevõtteid (vastavalt Töötajad ja külastajad). Varem läbi viidud stuudiote benchmarkingu põhjal teame, et tegevuste läbiviimisel (nt filmivõtted) on inimeste tihedus stuudios ligikaudu 1 inimene (Töötajad ja külastajad) 20 m² üüritava pinna kohta ürituse ajal. Seega lähtume konservatiivsest kasvuprognoosist stuudiopindade üüri osas (esimestel aastatel 25%, seejärel 50% ja siis 75%), kui palju stuudiotes vett tarbitakse. Näiteks esimestel aastatel oli 50% täituvusega üüritud stuudiopinnal keskmiselt 184 inimest korraga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4D3B1572-C421-40F5-95C4-670E4D6F6CE4}">
      <text>
        <r>
          <rPr>
            <b/>
            <sz val="9"/>
            <color indexed="81"/>
            <rFont val="Segoe UI"/>
            <family val="2"/>
          </rPr>
          <t>Kersti Raja:</t>
        </r>
        <r>
          <rPr>
            <sz val="9"/>
            <color indexed="81"/>
            <rFont val="Segoe UI"/>
            <family val="2"/>
          </rPr>
          <t xml:space="preserve">
sisaldab kommunaalkulusid</t>
        </r>
      </text>
    </comment>
    <comment ref="D14" authorId="0" shapeId="0" xr:uid="{5C7C5900-A602-4E2C-A0A1-77111E69AA66}">
      <text>
        <r>
          <rPr>
            <b/>
            <sz val="9"/>
            <color indexed="81"/>
            <rFont val="Segoe UI"/>
            <family val="2"/>
          </rPr>
          <t>Kersti Raja:</t>
        </r>
        <r>
          <rPr>
            <sz val="9"/>
            <color indexed="81"/>
            <rFont val="Segoe UI"/>
            <family val="2"/>
          </rPr>
          <t xml:space="preserve">
sisaldab kommunaalkulusid</t>
        </r>
      </text>
    </comment>
    <comment ref="D19" authorId="0" shapeId="0" xr:uid="{ADF874F6-6E2B-417A-BF0C-3913CCABF2F9}">
      <text>
        <r>
          <rPr>
            <b/>
            <sz val="9"/>
            <color indexed="81"/>
            <rFont val="Segoe UI"/>
            <family val="2"/>
          </rPr>
          <t>Kersti Raja:</t>
        </r>
        <r>
          <rPr>
            <sz val="9"/>
            <color indexed="81"/>
            <rFont val="Segoe UI"/>
            <family val="2"/>
          </rPr>
          <t xml:space="preserve">
sisaldab kommunaalkulusid</t>
        </r>
      </text>
    </comment>
    <comment ref="D20" authorId="0" shapeId="0" xr:uid="{A0FECAE6-DDAD-4B96-9ED2-D6815E376BB6}">
      <text>
        <r>
          <rPr>
            <b/>
            <sz val="9"/>
            <color indexed="81"/>
            <rFont val="Segoe UI"/>
            <family val="2"/>
          </rPr>
          <t>Kersti Raja:</t>
        </r>
        <r>
          <rPr>
            <sz val="9"/>
            <color indexed="81"/>
            <rFont val="Segoe UI"/>
            <family val="2"/>
          </rPr>
          <t xml:space="preserve">
sisaldab kommunaalkulusid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27B50EDB-6B75-42B5-A82B-C515D6CB25CA}">
      <text>
        <r>
          <rPr>
            <sz val="9"/>
            <color indexed="81"/>
            <rFont val="Tahoma"/>
            <family val="2"/>
            <charset val="204"/>
          </rPr>
          <t xml:space="preserve">Только постоянные резиденты Studio.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05ACD98A-39E1-4BE3-BB54-8134D1746601}">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77A26EED-DF15-4976-BD77-9C0C967D8110}">
      <text>
        <r>
          <rPr>
            <sz val="9"/>
            <color indexed="81"/>
            <rFont val="Tahoma"/>
            <family val="2"/>
            <charset val="204"/>
          </rPr>
          <t>Kesk elektrihind (15.05.24) + võrguteenus</t>
        </r>
      </text>
    </comment>
    <comment ref="C6" authorId="0" shapeId="0" xr:uid="{3FE58B28-D2E9-42D4-8813-09524DA12DB0}">
      <text>
        <r>
          <rPr>
            <sz val="9"/>
            <color indexed="81"/>
            <rFont val="Tahoma"/>
            <family val="2"/>
            <charset val="204"/>
          </rPr>
          <t>OÜ Järve Biopuhastus veetariifid alates 01.07.2023.a</t>
        </r>
      </text>
    </comment>
    <comment ref="C8" authorId="0" shapeId="0" xr:uid="{3D6FC992-93AE-4634-961D-D7693EA7A096}">
      <text>
        <r>
          <rPr>
            <sz val="9"/>
            <color indexed="81"/>
            <rFont val="Tahoma"/>
            <family val="2"/>
            <charset val="204"/>
          </rPr>
          <t>OÜ Järve Biopuhastus veetariifid alates 01.07.2023.a</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B0523BE1-C87C-470D-A62B-FA5322673D93}">
      <text>
        <r>
          <rPr>
            <b/>
            <sz val="9"/>
            <color indexed="81"/>
            <rFont val="Segoe UI"/>
            <family val="2"/>
          </rPr>
          <t>Kersti Raja:</t>
        </r>
        <r>
          <rPr>
            <sz val="9"/>
            <color indexed="81"/>
            <rFont val="Segoe UI"/>
            <family val="2"/>
          </rPr>
          <t xml:space="preserve">
sisaldab kommunaalkulusid</t>
        </r>
      </text>
    </comment>
    <comment ref="D14" authorId="0" shapeId="0" xr:uid="{32D7E56E-A5BC-43B5-B8F4-A120E5184FB9}">
      <text>
        <r>
          <rPr>
            <b/>
            <sz val="9"/>
            <color indexed="81"/>
            <rFont val="Segoe UI"/>
            <family val="2"/>
          </rPr>
          <t>Kersti Raja:</t>
        </r>
        <r>
          <rPr>
            <sz val="9"/>
            <color indexed="81"/>
            <rFont val="Segoe UI"/>
            <family val="2"/>
          </rPr>
          <t xml:space="preserve">
sisaldab kommunaalkulusid</t>
        </r>
      </text>
    </comment>
    <comment ref="D19" authorId="0" shapeId="0" xr:uid="{657FB6C3-A150-49AE-8743-559CCFBE0F12}">
      <text>
        <r>
          <rPr>
            <b/>
            <sz val="9"/>
            <color indexed="81"/>
            <rFont val="Segoe UI"/>
            <family val="2"/>
          </rPr>
          <t>Kersti Raja:</t>
        </r>
        <r>
          <rPr>
            <sz val="9"/>
            <color indexed="81"/>
            <rFont val="Segoe UI"/>
            <family val="2"/>
          </rPr>
          <t xml:space="preserve">
sisaldab kommunaalkulusid</t>
        </r>
      </text>
    </comment>
    <comment ref="D20" authorId="0" shapeId="0" xr:uid="{B3874077-4786-4897-A028-DB764B66A1DA}">
      <text>
        <r>
          <rPr>
            <b/>
            <sz val="9"/>
            <color indexed="81"/>
            <rFont val="Segoe UI"/>
            <family val="2"/>
          </rPr>
          <t>Kersti Raja:</t>
        </r>
        <r>
          <rPr>
            <sz val="9"/>
            <color indexed="81"/>
            <rFont val="Segoe UI"/>
            <family val="2"/>
          </rPr>
          <t xml:space="preserve">
sisaldab kommunaalkulusid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42FE2648-B177-415B-9169-EC4172C49CE6}">
      <text>
        <r>
          <rPr>
            <sz val="9"/>
            <color indexed="81"/>
            <rFont val="Tahoma"/>
            <family val="2"/>
            <charset val="204"/>
          </rPr>
          <t xml:space="preserve">Только постоянные резиденты Studio.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A9" authorId="0" shapeId="0" xr:uid="{00000000-0006-0000-1200-000002000000}">
      <text>
        <r>
          <rPr>
            <b/>
            <sz val="9"/>
            <color indexed="81"/>
            <rFont val="Segoe UI"/>
            <family val="2"/>
            <charset val="204"/>
          </rPr>
          <t>Kersti Raja:</t>
        </r>
        <r>
          <rPr>
            <sz val="9"/>
            <color indexed="81"/>
            <rFont val="Segoe UI"/>
            <family val="2"/>
            <charset val="204"/>
          </rPr>
          <t xml:space="preserve">
põhineb Jõhvi loomemajanduse inkubatsiooni plaanil</t>
        </r>
      </text>
    </comment>
    <comment ref="A19" authorId="0" shapeId="0" xr:uid="{00000000-0006-0000-1200-000005000000}">
      <text>
        <r>
          <rPr>
            <b/>
            <sz val="9"/>
            <color indexed="81"/>
            <rFont val="Segoe UI"/>
            <family val="2"/>
            <charset val="204"/>
          </rPr>
          <t>Kersti Raja:</t>
        </r>
        <r>
          <rPr>
            <sz val="9"/>
            <color indexed="81"/>
            <rFont val="Segoe UI"/>
            <family val="2"/>
            <charset val="204"/>
          </rPr>
          <t xml:space="preserve">
audiovisuaalvaldkonna ettevõtetes on keskmiselt 1,6 töötajat (Eesti loomemajanduse olukorra uuring-film ja video)</t>
        </r>
      </text>
    </comment>
    <comment ref="A21" authorId="0" shapeId="0" xr:uid="{00000000-0006-0000-1200-000008000000}">
      <text>
        <r>
          <rPr>
            <b/>
            <sz val="9"/>
            <color indexed="81"/>
            <rFont val="Segoe UI"/>
            <family val="2"/>
            <charset val="204"/>
          </rPr>
          <t>Kersti Raja:</t>
        </r>
        <r>
          <rPr>
            <sz val="9"/>
            <color indexed="81"/>
            <rFont val="Segoe UI"/>
            <family val="2"/>
            <charset val="204"/>
          </rPr>
          <t xml:space="preserve">
Loomemajanduse ettevõtete keskmine palk on väiksem keskmisest
</t>
        </r>
      </text>
    </comment>
    <comment ref="A22" authorId="0" shapeId="0" xr:uid="{00000000-0006-0000-1200-000006000000}">
      <text>
        <r>
          <rPr>
            <sz val="9"/>
            <color indexed="81"/>
            <rFont val="Segoe UI"/>
            <family val="2"/>
            <charset val="204"/>
          </rPr>
          <t>Ida-Virumaa keskmine brutopalk 2022.a IV kv oli 1 454 eurot kuus</t>
        </r>
      </text>
    </comment>
    <comment ref="A25" authorId="0" shapeId="0" xr:uid="{00000000-0006-0000-1200-000009000000}">
      <text>
        <r>
          <rPr>
            <b/>
            <sz val="9"/>
            <color indexed="81"/>
            <rFont val="Segoe UI"/>
            <family val="2"/>
            <charset val="204"/>
          </rPr>
          <t>Kersti Raja:</t>
        </r>
        <r>
          <rPr>
            <sz val="9"/>
            <color indexed="81"/>
            <rFont val="Segoe UI"/>
            <family val="2"/>
            <charset val="204"/>
          </rPr>
          <t xml:space="preserve">
audiovisuaalvaldkonna ettevõtte keskmine müügikäive on 137 000 eurot (Eesti loomemajanduse olukorra uuring-film ja video)</t>
        </r>
      </text>
    </comment>
    <comment ref="A31" authorId="0" shapeId="0" xr:uid="{00000000-0006-0000-1200-00000A000000}">
      <text>
        <r>
          <rPr>
            <b/>
            <sz val="9"/>
            <color indexed="81"/>
            <rFont val="Segoe UI"/>
            <family val="2"/>
            <charset val="204"/>
          </rPr>
          <t>Kersti Raja:</t>
        </r>
        <r>
          <rPr>
            <sz val="9"/>
            <color indexed="81"/>
            <rFont val="Segoe UI"/>
            <family val="2"/>
            <charset val="204"/>
          </rPr>
          <t xml:space="preserve">
(Tööjõukulud + Põhivarade kulum ja väärtuse langus + Ärikasum) / Müügitulu</t>
        </r>
      </text>
    </comment>
    <comment ref="C36" authorId="0" shapeId="0" xr:uid="{00000000-0006-0000-1200-00000D000000}">
      <text>
        <r>
          <rPr>
            <b/>
            <sz val="9"/>
            <color indexed="81"/>
            <rFont val="Segoe UI"/>
            <family val="2"/>
            <charset val="204"/>
          </rPr>
          <t>Kersti Raja:</t>
        </r>
        <r>
          <rPr>
            <sz val="9"/>
            <color indexed="81"/>
            <rFont val="Segoe UI"/>
            <family val="2"/>
            <charset val="204"/>
          </rPr>
          <t xml:space="preserve">
algab stuudiote ehitus</t>
        </r>
      </text>
    </comment>
    <comment ref="D36" authorId="0" shapeId="0" xr:uid="{00000000-0006-0000-1200-00000E000000}">
      <text>
        <r>
          <rPr>
            <b/>
            <sz val="9"/>
            <color indexed="81"/>
            <rFont val="Segoe UI"/>
            <family val="2"/>
            <charset val="204"/>
          </rPr>
          <t>Kersti Raja:</t>
        </r>
        <r>
          <rPr>
            <sz val="9"/>
            <color indexed="81"/>
            <rFont val="Segoe UI"/>
            <family val="2"/>
            <charset val="204"/>
          </rPr>
          <t xml:space="preserve">
valmivad stuudiod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xr:uid="{00000000-0006-0000-0300-000002000000}">
      <text>
        <r>
          <rPr>
            <sz val="9"/>
            <color indexed="81"/>
            <rFont val="Tahoma"/>
            <family val="2"/>
            <charset val="186"/>
          </rPr>
          <t>Vajadusel lisage ridu</t>
        </r>
      </text>
    </comment>
    <comment ref="A51" authorId="0" shapeId="0" xr:uid="{00000000-0006-0000-0300-000003000000}">
      <text>
        <r>
          <rPr>
            <sz val="9"/>
            <color indexed="81"/>
            <rFont val="Tahoma"/>
            <family val="2"/>
            <charset val="186"/>
          </rPr>
          <t>Vajadusel lisage ridu</t>
        </r>
      </text>
    </comment>
    <comment ref="B58" authorId="0" shapeId="0" xr:uid="{00000000-0006-0000-0300-000004000000}">
      <text>
        <r>
          <rPr>
            <sz val="9"/>
            <color indexed="81"/>
            <rFont val="Tahoma"/>
            <family val="2"/>
            <charset val="186"/>
          </rPr>
          <t>Lisada ametikohtade nimetused</t>
        </r>
      </text>
    </comment>
    <comment ref="B77" authorId="0" shapeId="0" xr:uid="{00000000-0006-0000-0300-000005000000}">
      <text>
        <r>
          <rPr>
            <sz val="9"/>
            <color indexed="81"/>
            <rFont val="Tahoma"/>
            <family val="2"/>
            <charset val="186"/>
          </rPr>
          <t>Vajadusel lisage töötajate jaoks ridu</t>
        </r>
      </text>
    </comment>
    <comment ref="B91" authorId="0" shapeId="0" xr:uid="{00000000-0006-0000-0300-000006000000}">
      <text>
        <r>
          <rPr>
            <sz val="9"/>
            <color indexed="81"/>
            <rFont val="Tahoma"/>
            <family val="2"/>
            <charset val="186"/>
          </rPr>
          <t>Vajadusel lisage ridu</t>
        </r>
      </text>
    </comment>
    <comment ref="B103" authorId="0" shapeId="0" xr:uid="{00000000-0006-0000-0300-000007000000}">
      <text>
        <r>
          <rPr>
            <sz val="9"/>
            <color indexed="81"/>
            <rFont val="Tahoma"/>
            <family val="2"/>
            <charset val="186"/>
          </rPr>
          <t>Vajadusel lisage ridu</t>
        </r>
      </text>
    </comment>
    <comment ref="A115" authorId="0" shapeId="0" xr:uid="{00000000-0006-0000-0300-000008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17A4366B-A77A-4C7B-9F75-990250E86D1A}">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900-000001000000}">
      <text>
        <r>
          <rPr>
            <sz val="9"/>
            <color indexed="81"/>
            <rFont val="Tahoma"/>
            <family val="2"/>
            <charset val="186"/>
          </rPr>
          <t>Tabelist 5</t>
        </r>
      </text>
    </comment>
    <comment ref="A12" authorId="0" shapeId="0" xr:uid="{00000000-0006-0000-09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9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9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<sst xmlns="http://schemas.openxmlformats.org/spreadsheetml/2006/main" count="1569" uniqueCount="590">
  <si>
    <t>Hind</t>
  </si>
  <si>
    <t>Müügitulu</t>
  </si>
  <si>
    <t>Ühik</t>
  </si>
  <si>
    <t>Eur</t>
  </si>
  <si>
    <t>Märts</t>
  </si>
  <si>
    <t>Mai</t>
  </si>
  <si>
    <t>Juuni</t>
  </si>
  <si>
    <t>Juuli</t>
  </si>
  <si>
    <t>TULUD KOKKU</t>
  </si>
  <si>
    <t>Toode/teenus 6</t>
  </si>
  <si>
    <t>Toode/teenus 7</t>
  </si>
  <si>
    <t>Toode/teenus 8</t>
  </si>
  <si>
    <t>Toode/teenus 9</t>
  </si>
  <si>
    <t>Toode/teenus 10</t>
  </si>
  <si>
    <t>KULUD</t>
  </si>
  <si>
    <t>Tööjõukulud</t>
  </si>
  <si>
    <t>Töötaja 4</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</si>
  <si>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</si>
  <si>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</si>
  <si>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</si>
  <si>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</si>
  <si>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</si>
  <si>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</si>
  <si>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</si>
  <si>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</si>
  <si>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</si>
  <si>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</si>
  <si>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</si>
  <si>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</si>
  <si>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</si>
  <si>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</si>
  <si>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</si>
  <si>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</si>
  <si>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</si>
  <si>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</si>
  <si>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</si>
  <si>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</si>
  <si>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</si>
  <si>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</si>
  <si>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5</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</si>
  <si>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</si>
  <si>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</si>
  <si>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</si>
  <si>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</si>
  <si>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</si>
  <si>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</si>
  <si>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</si>
  <si>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</si>
  <si>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</si>
  <si>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</si>
  <si>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</si>
  <si>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</si>
  <si>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</si>
  <si>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</si>
  <si>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</si>
  <si>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</si>
  <si>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</si>
  <si>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</si>
  <si>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</si>
  <si>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</si>
  <si>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</si>
  <si>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</si>
  <si>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</si>
  <si>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</si>
  <si>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</si>
  <si>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</si>
  <si>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</si>
  <si>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</si>
  <si>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</si>
  <si>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</si>
  <si>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</si>
  <si>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</si>
  <si>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</si>
  <si>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</si>
  <si>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</si>
  <si>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</si>
  <si>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</si>
  <si>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</si>
  <si>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</si>
  <si>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</si>
  <si>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</si>
  <si>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</si>
  <si>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</si>
  <si>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</si>
  <si>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</si>
  <si>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</si>
  <si>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</si>
  <si>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</si>
  <si>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</si>
  <si>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</si>
  <si>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</si>
  <si>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</si>
  <si>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</si>
  <si>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</si>
  <si>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</si>
  <si>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</si>
  <si>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</si>
  <si>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</si>
  <si>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</si>
  <si>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</si>
  <si>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</si>
  <si>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</si>
  <si>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</si>
  <si>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</si>
  <si>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</si>
  <si>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</si>
  <si>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</si>
  <si>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</si>
  <si>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</si>
  <si>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</si>
  <si>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</si>
  <si>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</si>
  <si>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</si>
  <si>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</si>
  <si>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</si>
  <si>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</si>
  <si>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</si>
  <si>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</si>
  <si>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</si>
  <si>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</si>
  <si>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</si>
  <si>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</si>
  <si>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</si>
  <si>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</si>
  <si>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</si>
  <si>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</si>
  <si>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</si>
  <si>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</si>
  <si>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</si>
  <si>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</si>
  <si>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</si>
  <si>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</si>
  <si>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</si>
  <si>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</si>
  <si>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</si>
  <si>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</si>
  <si>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</si>
  <si>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</si>
  <si>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</si>
  <si>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</si>
  <si>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</si>
  <si>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</si>
  <si>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</si>
  <si>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</si>
  <si>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</si>
  <si>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</si>
  <si>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</si>
  <si>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</si>
  <si>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</si>
  <si>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</si>
  <si>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</si>
  <si>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</si>
  <si>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</si>
  <si>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</si>
  <si>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</si>
  <si>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</si>
  <si>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</si>
  <si>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</si>
  <si>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</si>
  <si>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</si>
  <si>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</si>
  <si>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</si>
  <si>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</si>
  <si>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</si>
  <si>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</si>
  <si>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</si>
  <si>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</si>
  <si>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</si>
  <si>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</si>
  <si>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</si>
  <si>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</si>
  <si>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</si>
  <si>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</si>
  <si>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</si>
  <si>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</si>
  <si>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</si>
  <si>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</si>
  <si>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</si>
  <si>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</si>
  <si>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</si>
  <si>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</si>
  <si>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</si>
  <si>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</si>
  <si>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</si>
  <si>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</si>
  <si>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</si>
  <si>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</si>
  <si>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</si>
  <si>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</si>
  <si>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</si>
  <si>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</si>
  <si>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</si>
  <si>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</si>
  <si>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</si>
  <si>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</si>
  <si>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</si>
  <si>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</si>
  <si>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</si>
  <si>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</si>
  <si>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</si>
  <si>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</si>
  <si>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</si>
  <si>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</si>
  <si>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</si>
  <si>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</si>
  <si>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</si>
  <si>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</si>
  <si>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</si>
  <si>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</si>
  <si>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</si>
  <si>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</si>
  <si>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</si>
  <si>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</si>
  <si>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</si>
  <si>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</si>
  <si>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</si>
  <si>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</si>
  <si>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</si>
  <si>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</si>
  <si>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</si>
  <si>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</si>
  <si>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</si>
  <si>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</si>
  <si>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</si>
  <si>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</si>
  <si>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</si>
  <si>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</si>
  <si>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</si>
  <si>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</si>
  <si>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</si>
  <si>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</si>
  <si>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</si>
  <si>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</si>
  <si>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</si>
  <si>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</si>
  <si>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</si>
  <si>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</si>
  <si>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</si>
  <si>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</si>
  <si>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</si>
  <si>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</si>
  <si>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</si>
  <si>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</si>
  <si>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</si>
  <si>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</si>
  <si>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</si>
  <si>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</si>
  <si>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</si>
  <si>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</si>
  <si>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</si>
  <si>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</si>
  <si>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</si>
  <si>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</si>
  <si>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</si>
  <si>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</si>
  <si>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</si>
  <si>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</si>
  <si>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</si>
  <si>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</si>
  <si>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</si>
  <si>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</si>
  <si>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</si>
  <si>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</si>
  <si>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</si>
  <si>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</si>
  <si>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</si>
  <si>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</si>
  <si>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</si>
  <si>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</si>
  <si>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</si>
  <si>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</si>
  <si>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</si>
  <si>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Loomeinkubaator</t>
  </si>
  <si>
    <t>Tehnopol</t>
  </si>
  <si>
    <t>Maht, m3</t>
  </si>
  <si>
    <t>А</t>
  </si>
  <si>
    <t>P</t>
  </si>
  <si>
    <t>IVIA</t>
  </si>
  <si>
    <t>N</t>
  </si>
  <si>
    <t>lift ja trepikoda</t>
  </si>
  <si>
    <t>Lift, trepikoda</t>
  </si>
  <si>
    <t>Ühisruumid</t>
  </si>
  <si>
    <t>Kaubandus-Tööstuskoda</t>
  </si>
  <si>
    <t>Lift ja trepikoda</t>
  </si>
  <si>
    <t>üürikabinetid</t>
  </si>
  <si>
    <t>Studio</t>
  </si>
  <si>
    <t>sh stuudiohall</t>
  </si>
  <si>
    <t>Lift, trepikoda ja tehnilised ruumid</t>
  </si>
  <si>
    <t>Tehnilised ruumid, koridorid</t>
  </si>
  <si>
    <t>Siseõue Rõdu</t>
  </si>
  <si>
    <t>Продуктивные</t>
  </si>
  <si>
    <t>Непродуктивные</t>
  </si>
  <si>
    <t>Inkubaator</t>
  </si>
  <si>
    <t>m2</t>
  </si>
  <si>
    <t>Objekt</t>
  </si>
  <si>
    <t>%</t>
  </si>
  <si>
    <t>Прочее</t>
  </si>
  <si>
    <t>в т.ч. расходы оплачиваемые клиентами</t>
  </si>
  <si>
    <t>в т.ч. расходы оплачиваемые IVIA</t>
  </si>
  <si>
    <t>Küte</t>
  </si>
  <si>
    <t>Elekter</t>
  </si>
  <si>
    <t>брутто-зп, евро</t>
  </si>
  <si>
    <t>Обслуживание техносистем</t>
  </si>
  <si>
    <t xml:space="preserve">пожарн, отоплен, электр, вент </t>
  </si>
  <si>
    <t>Обслуживание ICT и автоматика систем (в т.ч. сервер)</t>
  </si>
  <si>
    <t>Маркетинг (собственное финансирование IVIA)</t>
  </si>
  <si>
    <t>Уборка</t>
  </si>
  <si>
    <t>Вывоз бытового мусора</t>
  </si>
  <si>
    <t>Уборка студий</t>
  </si>
  <si>
    <t>Уборка внешней территорий</t>
  </si>
  <si>
    <t>Покосы</t>
  </si>
  <si>
    <t>600 евро в месяц х 3 месяца</t>
  </si>
  <si>
    <t>Снег на территории</t>
  </si>
  <si>
    <t>Снег с крыши</t>
  </si>
  <si>
    <t>Закупка хозтоваров, концтовары (IVIA)</t>
  </si>
  <si>
    <t>Связь, интернет</t>
  </si>
  <si>
    <t>EBITDA</t>
  </si>
  <si>
    <t>Andmed sotsiaalmajandusliku mõju analüüsiks</t>
  </si>
  <si>
    <t>MÕJU INKUBATSIOONIKESKUSE INKUBANTIDE TEGEVUSEST</t>
  </si>
  <si>
    <t>Ettevõtete arv</t>
  </si>
  <si>
    <t>Startup inkubaatori ettevõtted</t>
  </si>
  <si>
    <t>Ettevõtete arv inkubaatoris jooksvas aastas</t>
  </si>
  <si>
    <t>Loomeinkubaatsiooni ettevõtted</t>
  </si>
  <si>
    <t>Ettevõtete ellujäämise määr peale inkubatsioonist väljumist:</t>
  </si>
  <si>
    <t>Ettevõtte elutsükkel, aastat</t>
  </si>
  <si>
    <t>Ettevõtete parameetrid kumulatiivselt</t>
  </si>
  <si>
    <t>1-3</t>
  </si>
  <si>
    <t>4-5</t>
  </si>
  <si>
    <t>6-8</t>
  </si>
  <si>
    <t>9-10</t>
  </si>
  <si>
    <t>10+</t>
  </si>
  <si>
    <t>Töötajate keskmine arv, in.</t>
  </si>
  <si>
    <t>Ekspordi osakaal müügis, keskmiselt, %</t>
  </si>
  <si>
    <t>Lisandväärtuse osakaal toote hinnas, keskmiselt, %</t>
  </si>
  <si>
    <t>FILMITÖÖSTUSE PROJEKTIDE MÕJU</t>
  </si>
  <si>
    <t>Inkubaatori stuudiotes toodetavate filmi- ja audiovisuaalprojektide eelarve</t>
  </si>
  <si>
    <t>Kulud kokku, mln eurot/aastas</t>
  </si>
  <si>
    <t>7,5</t>
  </si>
  <si>
    <t>13 лет</t>
  </si>
  <si>
    <t>в т.ч возраст:</t>
  </si>
  <si>
    <t>1-3 лет</t>
  </si>
  <si>
    <t>4-5 лет</t>
  </si>
  <si>
    <t>6-8 лет</t>
  </si>
  <si>
    <t>9-10 лет</t>
  </si>
  <si>
    <t xml:space="preserve"> +10 лет</t>
  </si>
  <si>
    <t>Ettevõtte keskmine müügikäive, eurot/aastas</t>
  </si>
  <si>
    <t>Inkubaatori  ehitamise kulud</t>
  </si>
  <si>
    <t>Seadmete ostmise kulud</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</si>
  <si>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</si>
  <si>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</si>
  <si>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</si>
  <si>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</si>
  <si>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</si>
  <si>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</si>
  <si>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</si>
  <si>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</si>
  <si>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</si>
  <si>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</si>
  <si>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</si>
  <si>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</si>
  <si>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</si>
  <si>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th eurot/aastas</t>
  </si>
  <si>
    <t>TEGEVUSEELARVE</t>
  </si>
  <si>
    <t>Kuu</t>
  </si>
  <si>
    <t>Tulud kokku</t>
  </si>
  <si>
    <t>Tulud</t>
  </si>
  <si>
    <t>Kulud</t>
  </si>
  <si>
    <t>Tegevuskulud</t>
  </si>
  <si>
    <t>Tegevuskulud kokku</t>
  </si>
  <si>
    <t>Kulud kokku</t>
  </si>
  <si>
    <t>Kasum</t>
  </si>
  <si>
    <t>EUR/kuu</t>
  </si>
  <si>
    <t>EUR/aasta</t>
  </si>
  <si>
    <t>% kogu sissetulekust</t>
  </si>
  <si>
    <t>% kõigist kuludest</t>
  </si>
  <si>
    <t>% tegevus-kuludest</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</si>
  <si>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</si>
  <si>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</si>
  <si>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</si>
  <si>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</si>
  <si>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</si>
  <si>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</si>
  <si>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</si>
  <si>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</si>
  <si>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</si>
  <si>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</si>
  <si>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</si>
  <si>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</si>
  <si>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</si>
  <si>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</si>
  <si>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</si>
  <si>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</si>
  <si>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</si>
  <si>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</si>
  <si>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</si>
  <si>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</si>
  <si>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</si>
  <si>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</si>
  <si>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</si>
  <si>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</si>
  <si>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</si>
  <si>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</si>
  <si>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</si>
  <si>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</si>
  <si>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</si>
  <si>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</si>
  <si>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m3</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</si>
  <si>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</si>
  <si>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</si>
  <si>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</si>
  <si>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</si>
  <si>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</si>
  <si>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Üüritulud</t>
  </si>
  <si>
    <t>Arved üürnikele kommunaalkulude eest</t>
  </si>
  <si>
    <t>Vesi ja kanalisatsioon</t>
  </si>
  <si>
    <t>sh külm vesi</t>
  </si>
  <si>
    <t>sh soe vesi</t>
  </si>
  <si>
    <t>Tehnohooldus</t>
  </si>
  <si>
    <t>Turundus</t>
  </si>
  <si>
    <t>Hooldus (territoorium)</t>
  </si>
  <si>
    <t>Valve</t>
  </si>
  <si>
    <t>Kindlustus</t>
  </si>
  <si>
    <t>Muu</t>
  </si>
  <si>
    <t>Amortisatsioon</t>
  </si>
  <si>
    <t>Remonditööd</t>
  </si>
  <si>
    <t>Jooksev remont</t>
  </si>
  <si>
    <t>Personalikulud</t>
  </si>
  <si>
    <t>Kommunaalteenused</t>
  </si>
  <si>
    <t>Tehnilised ruumid</t>
  </si>
  <si>
    <t>Inkubaator kokku</t>
  </si>
  <si>
    <t>Kohvik</t>
  </si>
  <si>
    <t>Seminariruumid</t>
  </si>
  <si>
    <t>Fuajee</t>
  </si>
  <si>
    <t>Kabinetid</t>
  </si>
  <si>
    <t>Open Office (12 kohta)</t>
  </si>
  <si>
    <t>Külaliskorterid</t>
  </si>
  <si>
    <t xml:space="preserve"> IVIA</t>
  </si>
  <si>
    <t>Teised üürnikud</t>
  </si>
  <si>
    <t>SISENDANDMED</t>
  </si>
  <si>
    <t>Kommunaalteenuste maksumus</t>
  </si>
  <si>
    <t>Elektrienergia</t>
  </si>
  <si>
    <t>Külm vesi</t>
  </si>
  <si>
    <t>Soe vesi</t>
  </si>
  <si>
    <t>Kanalisatsioon</t>
  </si>
  <si>
    <t>euro/m3</t>
  </si>
  <si>
    <t>euro/KWh</t>
  </si>
  <si>
    <t>Teenuste tarbimise hinnangulised keskmised näitajad</t>
  </si>
  <si>
    <t>Üüriruumid</t>
  </si>
  <si>
    <t>Vabanevad ruumid</t>
  </si>
  <si>
    <t>Stuudio</t>
  </si>
  <si>
    <t>W/1 m2/tunnis</t>
  </si>
  <si>
    <t>m3/in/kuus</t>
  </si>
  <si>
    <t>Ruumide jaotus</t>
  </si>
  <si>
    <t>Vabad ruumid</t>
  </si>
  <si>
    <t>Tööreziim</t>
  </si>
  <si>
    <t>1 ettevõte</t>
  </si>
  <si>
    <t>Vahetuste arv</t>
  </si>
  <si>
    <t>Töötundide keskmine arv päevas</t>
  </si>
  <si>
    <t>Töötundide keskmine arv aastas</t>
  </si>
  <si>
    <t>Valgustuse reziim:</t>
  </si>
  <si>
    <t>Ööreziim, tundi päevas</t>
  </si>
  <si>
    <t>Ööreziim, tundi aastas</t>
  </si>
  <si>
    <t>Töötajad ja külastajad</t>
  </si>
  <si>
    <t>Inimeste arv</t>
  </si>
  <si>
    <t>Üüriruumid (m2)/1 in</t>
  </si>
  <si>
    <t>Korrus</t>
  </si>
  <si>
    <t>1 korrus</t>
  </si>
  <si>
    <t>2 korrus</t>
  </si>
  <si>
    <t>3 korrus (SME)</t>
  </si>
  <si>
    <t>4 korrus</t>
  </si>
  <si>
    <t>IVEK</t>
  </si>
  <si>
    <t>5 korrus</t>
  </si>
  <si>
    <t>6 korrus</t>
  </si>
  <si>
    <t>Puhkeala</t>
  </si>
  <si>
    <t>Brutto pind, m2</t>
  </si>
  <si>
    <t>Netto pind, m2</t>
  </si>
  <si>
    <t>sh üüriruumid, m2</t>
  </si>
  <si>
    <t>sh muud ruumid, m2</t>
  </si>
  <si>
    <t>IVIA osakaal üüriruumides</t>
  </si>
  <si>
    <t>Brutto pind</t>
  </si>
  <si>
    <t>Netto pind</t>
  </si>
  <si>
    <t>Muud üüriruumid (postproduction)</t>
  </si>
  <si>
    <t>Üürnike ja IVIA kogukulude jaotuse % arvutamine (vastavalt üüripindade osakaalule)</t>
  </si>
  <si>
    <t>Üüripinnad</t>
  </si>
  <si>
    <t>Välja üüritud</t>
  </si>
  <si>
    <t>Vabad üüripinnad + IVIA</t>
  </si>
  <si>
    <t>Üüritulu kokku</t>
  </si>
  <si>
    <t>Valgustus</t>
  </si>
  <si>
    <t>Hooldus (hooned)</t>
  </si>
  <si>
    <t>Arved üld- ja kommunaalkulude eest kokku</t>
  </si>
  <si>
    <t>Tuluühik</t>
  </si>
  <si>
    <t>Täituvuse protsent</t>
  </si>
  <si>
    <t>Tulu, eurot/kuus</t>
  </si>
  <si>
    <t>Tulu, eurot/aastas</t>
  </si>
  <si>
    <t>% kõikidest tuludest</t>
  </si>
  <si>
    <t>eurot/m2 kuus</t>
  </si>
  <si>
    <t>eurot päevas</t>
  </si>
  <si>
    <t>Maksumus, eurot/kuus</t>
  </si>
  <si>
    <t>Maksumus, eurot/aastas</t>
  </si>
  <si>
    <t>Kuus</t>
  </si>
  <si>
    <t>Aastas</t>
  </si>
  <si>
    <t>m3 gaasi/aastas</t>
  </si>
  <si>
    <t>Välja üüritud + % ühis</t>
  </si>
  <si>
    <t>Vabad ruumid + % ühis</t>
  </si>
  <si>
    <t>kW/aastas</t>
  </si>
  <si>
    <t>kW*h/aastas</t>
  </si>
  <si>
    <t>IVIA+% ühis</t>
  </si>
  <si>
    <t>% investeeringud</t>
  </si>
  <si>
    <t>Amortisatsioon kokku</t>
  </si>
  <si>
    <t>Inkubeeritavate ettevõtete mõju</t>
  </si>
  <si>
    <t>Uued ettevõtted:</t>
  </si>
  <si>
    <t>jooksev aasta</t>
  </si>
  <si>
    <t>ellujäämise % 5 aasta jooksul</t>
  </si>
  <si>
    <t>tegutsevad ettevõtted arvestades ellujäämise %</t>
  </si>
  <si>
    <t>Maksud kokku kõikidesse eelarvetesse</t>
  </si>
  <si>
    <t>mln eurot/aastas</t>
  </si>
  <si>
    <t>ettevõtet</t>
  </si>
  <si>
    <t>inimest</t>
  </si>
  <si>
    <t>13 aastat</t>
  </si>
  <si>
    <t>Ruum nr</t>
  </si>
  <si>
    <t>180, 147, 184, 102, 166, 107, 165, 109, 163, 164, 103, 148, 114, 179, 182115, 116</t>
  </si>
  <si>
    <t>101, 138, 174, 175, 173, 176, 177, 178, 171, 160, 161, 105, 119, 120, 108, 124, 121, 125, 122, 127, 133, 128, 129, 134</t>
  </si>
  <si>
    <t xml:space="preserve">117, 139, 135, 130, 131, 136, 137, 132, 123, 157, 126, 146, 145, 143, 162, 169, 170, 168, 141, </t>
  </si>
  <si>
    <t>186, 192, 113, 185, 153, 154, 110, 111, 112, 190, 191, 151, 152, 187, 167, 144, 149, 155, 156, 142, 172, 158, 159, 150, 106, 118, 104</t>
  </si>
  <si>
    <t>248, 249, 250, 251, 242</t>
  </si>
  <si>
    <t>235, 225, 217, 222, 236, 227, 228, 214, 213, 210, 234, 239, 201, 219, 229, 230, 204, 205, 206, 207, 231, 232, 208, 233, 221, 218, 237, 238, 202, 203, 215, 226</t>
  </si>
  <si>
    <t>224, 220, 216, 245, 240, 244, 246, 247, 223, 243, 209, 211, 241</t>
  </si>
  <si>
    <t>(2 раза х неделя х 8 ч. х 10 евро + 700/год) х 1 объекта</t>
  </si>
  <si>
    <t>1 раз/месяц х 12ч х 13,5 евро х 7 мес</t>
  </si>
  <si>
    <t>Projektis osalemine:</t>
  </si>
  <si>
    <t>Üüritulud. 2 korrus. Muud üüriruumid (postproduction)</t>
  </si>
  <si>
    <t>Kokku rendile, m2</t>
  </si>
  <si>
    <t>Renditud, m2</t>
  </si>
  <si>
    <t>Ei ole renditud, m2</t>
  </si>
  <si>
    <t>Kokku, päeva</t>
  </si>
  <si>
    <t>Renditud, päeva</t>
  </si>
  <si>
    <t>Ei ole renditud, päeva</t>
  </si>
  <si>
    <t>Eur/m2/aastas</t>
  </si>
  <si>
    <t>päev</t>
  </si>
  <si>
    <t>Kuud</t>
  </si>
  <si>
    <t>Eur/kuus</t>
  </si>
  <si>
    <t>Asendusinvesteeringuid</t>
  </si>
  <si>
    <t>aasta number pärast projekti elluviimist</t>
  </si>
  <si>
    <t>% asendamine esialgsest maksumusest</t>
  </si>
  <si>
    <t>Stuudiote turundus- ja kommunikatsioonijuht</t>
  </si>
  <si>
    <t>Filmitööstuse soft landing teenuste juht</t>
  </si>
  <si>
    <t>Laenu võtmine (IVIA)</t>
  </si>
  <si>
    <t>s.h. vanus:</t>
  </si>
  <si>
    <t>1-3 aastat</t>
  </si>
  <si>
    <t>4-5 aastat</t>
  </si>
  <si>
    <t>6-8 aastat</t>
  </si>
  <si>
    <t>9-10 aastat</t>
  </si>
  <si>
    <t xml:space="preserve"> +10 aastat</t>
  </si>
  <si>
    <t>jooksev aasta, kokku</t>
  </si>
  <si>
    <t>jooksev aasta, ellujäänud</t>
  </si>
  <si>
    <t>Töötajate keskmine brutopalk,  Loomeinkubaatsiooni ettevõtted
, eurot/kuus</t>
  </si>
  <si>
    <t>Infoks: Töötajate keskmine brutopalk Ida-Virumaal, eurot/kuus</t>
  </si>
  <si>
    <t>Periood, aastat projekti realiseerumisest</t>
  </si>
  <si>
    <t>1 - 3</t>
  </si>
  <si>
    <t>4 - 7</t>
  </si>
  <si>
    <t>8 - 13</t>
  </si>
  <si>
    <t xml:space="preserve">Keskmine täituvus </t>
  </si>
  <si>
    <t>Keskmise täituvuse stsenaariumid</t>
  </si>
  <si>
    <t>vähene</t>
  </si>
  <si>
    <t>keskmine</t>
  </si>
  <si>
    <t>kõrge</t>
  </si>
  <si>
    <t>Tulud, eurot/aastas</t>
  </si>
  <si>
    <t>Kulud (amortisatsioonita), eurot/aastas</t>
  </si>
  <si>
    <t>EBITDA, eurot/aastas</t>
  </si>
  <si>
    <t>Kasum, eurot/aastas</t>
  </si>
  <si>
    <t>(Stsenaarium: max täituvus - 75%)</t>
  </si>
  <si>
    <t>Asendusinvesteeringud</t>
  </si>
  <si>
    <t>Keskküte</t>
  </si>
  <si>
    <t>euro/MW</t>
  </si>
  <si>
    <t>kW/1 m3/aastas</t>
  </si>
  <si>
    <t>MW/aastas</t>
  </si>
  <si>
    <t>Loometööstuse inkubaator koos stuudiokompleksiga</t>
  </si>
  <si>
    <t>3.1. Loometööstuse inkubaatori koos stuudiokompleksiga ehitamise ja seadmete ostmise kulud</t>
  </si>
  <si>
    <t>Üüritulud.  1 korrus. Väike stuudio (2) koos abiruumidega</t>
  </si>
  <si>
    <t>Üüritulud.  1 korrus. Suur stuudio (1) koos abiruumidega</t>
  </si>
  <si>
    <t>Üüritulud.  1 korrus. Laod ja töökojad</t>
  </si>
  <si>
    <t>Toetus ÕÜF meetme "Ettevõtluse mitmekesistamise tugiteenused" sekkumisest "Inkubaatorite rajamine Narva ja Jõhvi"</t>
  </si>
  <si>
    <t>Toetus ÕÜF meetme "Ettevõtluse mitmekesistamise tugiteenused" sekkumisest "Ida-Virumaa inkubatsiooniteenuste programmi loomine ja arendamine"</t>
  </si>
  <si>
    <t>Väike stuudio (stuudio 2) koos abiruumidega</t>
  </si>
  <si>
    <t>Suur stuudio (stuudio 1) koos abiruumidega</t>
  </si>
  <si>
    <t>Laod ja töökojad</t>
  </si>
  <si>
    <t>Ruumid kokku</t>
  </si>
  <si>
    <t>Hoone</t>
  </si>
  <si>
    <t>Loometööstuse inkubaator stuudiotega</t>
  </si>
  <si>
    <t>Hoone ehitamise kulud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</si>
</sst>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 numFmtId="181" formatCode="#,##0.0_ ;[Red]\-#,##0.0\ "/>
  </numFmts>
  <fonts count="122"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scheme val="minor"/>
    </font>
    <font>
      <sz val="9"/>
      <color indexed="81"/>
      <name val="Tahoma"/>
      <family val="2"/>
      <charset val="204"/>
    </font>
    <font>
      <b/>
      <sz val="9"/>
      <color indexed="81"/>
      <name val="Segoe UI"/>
      <family val="2"/>
    </font>
    <font>
      <sz val="9"/>
      <color indexed="81"/>
      <name val="Segoe UI"/>
      <family val="2"/>
    </font>
    <font>
      <b/>
      <i/>
      <sz val="11"/>
      <color theme="1"/>
      <name val="Calibri"/>
      <family val="2"/>
      <charset val="204"/>
      <scheme val="minor"/>
    </font>
    <font>
      <sz val="9"/>
      <color rgb="FFFF0000"/>
      <name val="Calibri"/>
      <family val="2"/>
      <charset val="204"/>
      <scheme val="minor"/>
    </font>
    <font>
      <sz val="9"/>
      <color theme="1"/>
      <name val="Calibri"/>
      <family val="2"/>
      <charset val="204"/>
      <scheme val="minor"/>
    </font>
    <font>
      <sz val="9"/>
      <name val="Calibri"/>
      <family val="2"/>
      <charset val="204"/>
      <scheme val="minor"/>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b/>
      <sz val="11"/>
      <color theme="1"/>
      <name val="Times New Roman"/>
      <family val="1"/>
      <charset val="204"/>
    </font>
    <font>
      <b/>
      <i/>
      <sz val="11"/>
      <color theme="1"/>
      <name val="Times New Roman"/>
      <family val="1"/>
      <charset val="204"/>
    </font>
    <font>
      <b/>
      <sz val="14"/>
      <color theme="1"/>
      <name val="Times New Roman"/>
      <family val="1"/>
      <charset val="204"/>
    </font>
    <font>
      <b/>
      <sz val="11"/>
      <color rgb="FF002060"/>
      <name val="Times New Roman"/>
      <family val="1"/>
      <charset val="204"/>
    </font>
    <font>
      <i/>
      <sz val="12"/>
      <color theme="1"/>
      <name val="Times New Roman"/>
      <family val="1"/>
      <charset val="204"/>
    </font>
    <font>
      <sz val="12"/>
      <color theme="1"/>
      <name val="Times New Roman"/>
      <family val="1"/>
      <charset val="204"/>
    </font>
    <font>
      <b/>
      <sz val="12"/>
      <color theme="1"/>
      <name val="Times New Roman"/>
      <family val="1"/>
      <charset val="204"/>
    </font>
    <font>
      <u/>
      <sz val="11"/>
      <color theme="1"/>
      <name val="Times New Roman"/>
      <family val="1"/>
      <charset val="204"/>
    </font>
    <font>
      <i/>
      <sz val="11"/>
      <color theme="1"/>
      <name val="Times New Roman"/>
      <family val="1"/>
      <charset val="204"/>
    </font>
    <font>
      <i/>
      <sz val="11"/>
      <color theme="1"/>
      <name val="Times New Roman"/>
      <family val="1"/>
    </font>
    <font>
      <b/>
      <sz val="9"/>
      <color indexed="81"/>
      <name val="Segoe UI"/>
      <family val="2"/>
      <charset val="204"/>
    </font>
    <font>
      <sz val="9"/>
      <color indexed="81"/>
      <name val="Segoe UI"/>
      <family val="2"/>
      <charset val="204"/>
    </font>
    <font>
      <sz val="11"/>
      <name val="Calibri"/>
      <family val="2"/>
      <scheme val="minor"/>
    </font>
    <font>
      <i/>
      <sz val="11"/>
      <name val="Calibri"/>
      <family val="2"/>
      <scheme val="minor"/>
    </font>
    <font>
      <b/>
      <sz val="11"/>
      <name val="Calibri"/>
      <family val="2"/>
      <scheme val="minor"/>
    </font>
    <font>
      <sz val="11"/>
      <color theme="0"/>
      <name val="Times New Roman"/>
      <family val="1"/>
      <charset val="204"/>
    </font>
    <font>
      <b/>
      <i/>
      <sz val="11"/>
      <name val="Calibri"/>
      <family val="2"/>
      <scheme val="minor"/>
    </font>
    <font>
      <sz val="10"/>
      <name val="Calibri"/>
      <family val="2"/>
      <scheme val="minor"/>
    </font>
    <font>
      <i/>
      <sz val="9"/>
      <name val="Calibri"/>
      <family val="2"/>
      <scheme val="minor"/>
    </font>
    <font>
      <sz val="9"/>
      <name val="Calibri"/>
      <family val="2"/>
      <scheme val="minor"/>
    </font>
    <font>
      <sz val="8"/>
      <name val="Calibri"/>
      <family val="2"/>
      <scheme val="minor"/>
    </font>
    <font>
      <b/>
      <u/>
      <sz val="11"/>
      <name val="Times New Roman"/>
      <family val="1"/>
      <charset val="204"/>
    </font>
    <font>
      <sz val="5"/>
      <color theme="1"/>
      <name val="Calibri"/>
      <family val="2"/>
      <charset val="204"/>
      <scheme val="minor"/>
    </font>
    <font>
      <i/>
      <sz val="9"/>
      <color theme="1"/>
      <name val="Times New Roman"/>
      <family val="1"/>
      <charset val="204"/>
    </font>
    <font>
      <i/>
      <sz val="10"/>
      <color theme="1"/>
      <name val="Times New Roman"/>
      <family val="1"/>
      <charset val="204"/>
    </font>
    <font>
      <b/>
      <sz val="11"/>
      <color rgb="FFFF0000"/>
      <name val="Calibri"/>
      <family val="2"/>
      <charset val="186"/>
      <scheme val="minor"/>
    </font>
    <font>
      <b/>
      <sz val="9"/>
      <color indexed="81"/>
      <name val="Tahoma"/>
      <family val="2"/>
      <charset val="204"/>
    </font>
    <font>
      <sz val="9"/>
      <color indexed="81"/>
      <name val="Segoe UI"/>
      <charset val="1"/>
    </font>
    <font>
      <b/>
      <sz val="9"/>
      <color indexed="81"/>
      <name val="Segoe UI"/>
      <charset val="1"/>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3">
    <xf numFmtId="0" fontId="0" fillId="0" borderId="0"/>
    <xf numFmtId="9" fontId="38" fillId="0" borderId="0" applyFont="0" applyFill="0" applyBorder="0" applyAlignment="0" applyProtection="0"/>
    <xf numFmtId="0" fontId="54" fillId="0" borderId="0" applyNumberFormat="0" applyFill="0" applyBorder="0" applyAlignment="0" applyProtection="0"/>
    <xf numFmtId="0" fontId="5" fillId="0" borderId="0"/>
    <xf numFmtId="9" fontId="5" fillId="0" borderId="0" applyFont="0" applyFill="0" applyBorder="0" applyAlignment="0" applyProtection="0"/>
    <xf numFmtId="0" fontId="5" fillId="0" borderId="0"/>
    <xf numFmtId="0" fontId="84" fillId="0" borderId="0"/>
    <xf numFmtId="9" fontId="8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2" fillId="0" borderId="0"/>
    <xf numFmtId="0" fontId="1" fillId="0" borderId="0"/>
  </cellStyleXfs>
  <cellXfs count="898">
    <xf numFmtId="0" fontId="0" fillId="0" borderId="0" xfId="0"/>
    <xf numFmtId="0" fontId="0" fillId="0" borderId="0" xfId="0"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2" borderId="2" xfId="0" applyFill="1" applyBorder="1" applyAlignment="1">
      <alignment horizontal="center" vertical="center"/>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9" fillId="0" borderId="0" xfId="0" applyNumberFormat="1" applyFont="1" applyAlignment="1">
      <alignment horizontal="center" vertical="center" shrinkToFit="1"/>
    </xf>
    <xf numFmtId="167" fontId="9"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6" fillId="0" borderId="0" xfId="0" applyNumberFormat="1" applyFont="1" applyAlignment="1">
      <alignment horizontal="center" vertical="center" shrinkToFit="1"/>
    </xf>
    <xf numFmtId="167" fontId="6"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left" vertical="center" indent="1"/>
    </xf>
    <xf numFmtId="0" fontId="11" fillId="2" borderId="3"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9" fillId="0" borderId="0" xfId="0" applyFont="1" applyAlignment="1">
      <alignment horizontal="left" vertical="center" indent="2"/>
    </xf>
    <xf numFmtId="0" fontId="19" fillId="0" borderId="0" xfId="0" applyFont="1" applyAlignment="1">
      <alignment horizontal="center" vertical="center"/>
    </xf>
    <xf numFmtId="0" fontId="24" fillId="0" borderId="0" xfId="0" applyFont="1" applyAlignment="1">
      <alignment horizontal="left" vertical="center" indent="1"/>
    </xf>
    <xf numFmtId="0" fontId="25" fillId="0" borderId="0" xfId="0" applyFont="1" applyAlignment="1">
      <alignment horizontal="left" vertical="center" indent="1"/>
    </xf>
    <xf numFmtId="0" fontId="26" fillId="0" borderId="0" xfId="0" applyFont="1" applyAlignment="1">
      <alignment horizontal="left" vertical="center" indent="1" shrinkToFit="1"/>
    </xf>
    <xf numFmtId="0" fontId="26" fillId="0" borderId="0" xfId="0" applyFont="1" applyAlignment="1">
      <alignment horizontal="center" vertical="center" shrinkToFit="1"/>
    </xf>
    <xf numFmtId="0" fontId="27" fillId="0" borderId="0" xfId="0" applyFont="1" applyAlignment="1">
      <alignment horizontal="center" vertical="center" shrinkToFit="1"/>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left" vertical="center" indent="1" shrinkToFit="1"/>
    </xf>
    <xf numFmtId="0" fontId="28" fillId="0" borderId="1" xfId="0" applyFont="1" applyBorder="1" applyAlignment="1">
      <alignment horizontal="center" vertical="center" shrinkToFit="1"/>
    </xf>
    <xf numFmtId="0" fontId="25" fillId="0" borderId="1" xfId="0" applyFont="1" applyBorder="1" applyAlignment="1">
      <alignment horizontal="center" vertical="center" shrinkToFit="1"/>
    </xf>
    <xf numFmtId="0" fontId="26"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6"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6" fillId="8" borderId="1" xfId="0" applyFont="1" applyFill="1" applyBorder="1" applyAlignment="1">
      <alignment horizontal="left" vertical="center" indent="1" shrinkToFit="1"/>
    </xf>
    <xf numFmtId="0" fontId="6" fillId="8" borderId="1" xfId="0" applyFont="1" applyFill="1" applyBorder="1" applyAlignment="1">
      <alignment horizontal="center" vertical="center" shrinkToFit="1"/>
    </xf>
    <xf numFmtId="167" fontId="6"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0" fillId="7" borderId="1" xfId="0" applyFont="1" applyFill="1" applyBorder="1" applyAlignment="1">
      <alignment horizontal="center" vertical="center" shrinkToFit="1"/>
    </xf>
    <xf numFmtId="167" fontId="9" fillId="7" borderId="1" xfId="0" applyNumberFormat="1"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0" fontId="30" fillId="0" borderId="0" xfId="0" applyFont="1" applyAlignment="1">
      <alignment horizontal="center" vertical="center"/>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0" fillId="0" borderId="2" xfId="0" applyFont="1" applyBorder="1" applyAlignment="1">
      <alignment horizontal="center" vertical="top"/>
    </xf>
    <xf numFmtId="0" fontId="30" fillId="0" borderId="3" xfId="0" applyFont="1" applyBorder="1" applyAlignment="1">
      <alignment horizontal="left" vertical="top" shrinkToFit="1"/>
    </xf>
    <xf numFmtId="0" fontId="30" fillId="0" borderId="3" xfId="0" applyFont="1" applyBorder="1" applyAlignment="1">
      <alignment horizontal="center" vertical="top" shrinkToFit="1"/>
    </xf>
    <xf numFmtId="167" fontId="30" fillId="0" borderId="3" xfId="0" applyNumberFormat="1" applyFont="1" applyBorder="1" applyAlignment="1">
      <alignment horizontal="center" vertical="top" shrinkToFit="1"/>
    </xf>
    <xf numFmtId="167" fontId="30" fillId="0" borderId="0" xfId="0" applyNumberFormat="1" applyFont="1" applyAlignment="1">
      <alignment horizontal="center" vertical="top" shrinkToFit="1"/>
    </xf>
    <xf numFmtId="167" fontId="30" fillId="0" borderId="0" xfId="0" applyNumberFormat="1" applyFont="1" applyAlignment="1">
      <alignment horizontal="center" vertical="top"/>
    </xf>
    <xf numFmtId="0" fontId="30"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3"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6" fillId="2" borderId="4" xfId="0" applyNumberFormat="1" applyFont="1" applyFill="1" applyBorder="1" applyAlignment="1">
      <alignment horizontal="center" vertical="center" shrinkToFit="1"/>
    </xf>
    <xf numFmtId="0" fontId="10" fillId="10" borderId="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32" fillId="0" borderId="2" xfId="0" applyFont="1" applyBorder="1" applyAlignment="1">
      <alignment horizontal="center" vertical="center"/>
    </xf>
    <xf numFmtId="0" fontId="34" fillId="0" borderId="1" xfId="0" applyFont="1" applyBorder="1" applyAlignment="1">
      <alignment horizontal="center" vertical="center"/>
    </xf>
    <xf numFmtId="0" fontId="32"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2" fillId="0" borderId="4" xfId="0" applyFont="1" applyBorder="1" applyAlignment="1">
      <alignment horizontal="left" vertical="center" indent="1"/>
    </xf>
    <xf numFmtId="0" fontId="32"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6"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9" fillId="2" borderId="4" xfId="0" applyNumberFormat="1" applyFont="1" applyFill="1" applyBorder="1" applyAlignment="1">
      <alignment horizontal="center" vertical="center" shrinkToFit="1"/>
    </xf>
    <xf numFmtId="166" fontId="9" fillId="10" borderId="1" xfId="0" applyNumberFormat="1" applyFont="1" applyFill="1" applyBorder="1" applyAlignment="1">
      <alignment horizontal="center" vertical="center" shrinkToFit="1"/>
    </xf>
    <xf numFmtId="0" fontId="31" fillId="0" borderId="0" xfId="0" applyFont="1" applyAlignment="1">
      <alignment horizontal="left" vertical="center" indent="1"/>
    </xf>
    <xf numFmtId="0" fontId="37" fillId="0" borderId="1" xfId="0" applyFont="1" applyBorder="1" applyAlignment="1">
      <alignment horizontal="center" vertical="center" wrapText="1"/>
    </xf>
    <xf numFmtId="168" fontId="33" fillId="0" borderId="0" xfId="0" applyNumberFormat="1" applyFont="1" applyAlignment="1">
      <alignment horizontal="center" vertical="center"/>
    </xf>
    <xf numFmtId="0" fontId="39"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0" fillId="0" borderId="0" xfId="0" applyFont="1" applyAlignment="1">
      <alignment horizontal="left" vertical="center"/>
    </xf>
    <xf numFmtId="9" fontId="41"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2" fillId="0" borderId="1" xfId="0" applyFont="1" applyBorder="1" applyAlignment="1">
      <alignment horizontal="left" vertical="center" indent="1"/>
    </xf>
    <xf numFmtId="0" fontId="6"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6"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9" fillId="0" borderId="0" xfId="0" applyFont="1" applyAlignment="1">
      <alignment horizontal="left" vertical="center" indent="1"/>
    </xf>
    <xf numFmtId="0" fontId="44" fillId="0" borderId="1" xfId="0" applyFont="1" applyBorder="1" applyAlignment="1">
      <alignment horizontal="left" vertical="center" indent="1"/>
    </xf>
    <xf numFmtId="0" fontId="44" fillId="0" borderId="1" xfId="0" applyFont="1" applyBorder="1" applyAlignment="1">
      <alignment horizontal="center" vertical="center"/>
    </xf>
    <xf numFmtId="170" fontId="30" fillId="0" borderId="0" xfId="0" applyNumberFormat="1" applyFont="1" applyAlignment="1">
      <alignment horizontal="center" vertical="center"/>
    </xf>
    <xf numFmtId="171" fontId="0" fillId="0" borderId="1" xfId="0" applyNumberFormat="1" applyBorder="1" applyAlignment="1">
      <alignment horizontal="center" vertical="center"/>
    </xf>
    <xf numFmtId="0" fontId="34" fillId="0" borderId="0" xfId="0" applyFont="1" applyAlignment="1">
      <alignment horizontal="left" vertical="center" indent="1"/>
    </xf>
    <xf numFmtId="0" fontId="33"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6" fillId="0" borderId="1" xfId="0" applyFont="1" applyBorder="1" applyAlignment="1">
      <alignment horizontal="left" vertical="center" wrapText="1" indent="1"/>
    </xf>
    <xf numFmtId="168" fontId="47" fillId="0" borderId="0" xfId="1" applyNumberFormat="1" applyFont="1" applyAlignment="1">
      <alignment horizontal="center" vertical="center"/>
    </xf>
    <xf numFmtId="168" fontId="47"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3"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2" fillId="0" borderId="0" xfId="0" applyFont="1" applyAlignment="1" applyProtection="1">
      <alignment horizontal="left" vertical="center" indent="1"/>
      <protection locked="0"/>
    </xf>
    <xf numFmtId="0" fontId="15" fillId="0" borderId="0" xfId="0" applyFont="1" applyAlignment="1" applyProtection="1">
      <alignment horizontal="left" vertical="center" indent="1" shrinkToFit="1"/>
      <protection locked="0"/>
    </xf>
    <xf numFmtId="0" fontId="15" fillId="0" borderId="0" xfId="0" applyFont="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4" xfId="0" applyFont="1" applyBorder="1" applyAlignment="1" applyProtection="1">
      <alignment horizontal="left" vertical="center" indent="1" shrinkToFit="1"/>
      <protection locked="0"/>
    </xf>
    <xf numFmtId="0" fontId="17" fillId="0" borderId="1"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1"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9"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1"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6" fillId="3" borderId="1"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left" vertical="center" indent="1" shrinkToFit="1"/>
      <protection locked="0"/>
    </xf>
    <xf numFmtId="0" fontId="6" fillId="3" borderId="1"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9" fillId="4" borderId="1" xfId="0" applyNumberFormat="1" applyFont="1" applyFill="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9"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167" fontId="6"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10" fillId="4" borderId="1" xfId="0" applyFont="1" applyFill="1" applyBorder="1" applyAlignment="1" applyProtection="1">
      <alignment horizontal="center" vertical="center" shrinkToFit="1"/>
      <protection locked="0"/>
    </xf>
    <xf numFmtId="167" fontId="9" fillId="0" borderId="0" xfId="0" applyNumberFormat="1" applyFont="1" applyAlignment="1" applyProtection="1">
      <alignment horizontal="center" vertical="center" shrinkToFit="1"/>
      <protection locked="0"/>
    </xf>
    <xf numFmtId="167" fontId="9"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9" fillId="0" borderId="1" xfId="0" applyNumberFormat="1" applyFont="1" applyBorder="1" applyAlignment="1" applyProtection="1">
      <alignment horizontal="center" vertical="center" shrinkToFit="1"/>
      <protection locked="0"/>
    </xf>
    <xf numFmtId="0" fontId="18" fillId="0" borderId="0" xfId="0" applyFont="1" applyAlignment="1" applyProtection="1">
      <alignment horizontal="left" vertical="center" indent="1"/>
      <protection locked="0"/>
    </xf>
    <xf numFmtId="0" fontId="19" fillId="0" borderId="0" xfId="0" applyFont="1" applyAlignment="1" applyProtection="1">
      <alignment horizontal="left" vertical="center" indent="2"/>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2" fillId="0" borderId="1"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6" fillId="5" borderId="1"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horizontal="left" vertical="center" indent="1" shrinkToFit="1"/>
      <protection locked="0"/>
    </xf>
    <xf numFmtId="0" fontId="6" fillId="5"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9"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6" fillId="6" borderId="1" xfId="0" applyFont="1"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0" fontId="48" fillId="0" borderId="0" xfId="0" applyFont="1" applyAlignment="1">
      <alignment horizontal="left" vertical="center" indent="1"/>
    </xf>
    <xf numFmtId="0" fontId="49" fillId="0" borderId="0" xfId="0" applyFont="1" applyAlignment="1">
      <alignment horizontal="left" vertical="center" indent="1"/>
    </xf>
    <xf numFmtId="0" fontId="50" fillId="0" borderId="1" xfId="0" applyFont="1" applyBorder="1" applyAlignment="1">
      <alignment horizontal="left" vertical="center" indent="1"/>
    </xf>
    <xf numFmtId="0" fontId="51" fillId="0" borderId="1" xfId="0" applyFont="1" applyBorder="1" applyAlignment="1">
      <alignment horizontal="left" vertical="center" indent="1"/>
    </xf>
    <xf numFmtId="0" fontId="50" fillId="0" borderId="1" xfId="0"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0" fillId="2" borderId="2" xfId="0" applyFill="1" applyBorder="1" applyAlignment="1">
      <alignment horizontal="left" vertical="center" indent="1"/>
    </xf>
    <xf numFmtId="0" fontId="49" fillId="2" borderId="3" xfId="0" applyFont="1" applyFill="1" applyBorder="1" applyAlignment="1">
      <alignment horizontal="left" vertical="center" indent="1"/>
    </xf>
    <xf numFmtId="0" fontId="6"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9"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9" fillId="2" borderId="3" xfId="0" applyFont="1" applyFill="1" applyBorder="1" applyAlignment="1">
      <alignment horizontal="center" vertical="center"/>
    </xf>
    <xf numFmtId="0" fontId="9" fillId="15" borderId="1" xfId="0" applyFont="1" applyFill="1" applyBorder="1" applyAlignment="1">
      <alignment horizontal="left" vertical="center" indent="1"/>
    </xf>
    <xf numFmtId="0" fontId="49" fillId="15" borderId="1" xfId="0" applyFont="1" applyFill="1" applyBorder="1" applyAlignment="1">
      <alignment horizontal="center" vertical="center"/>
    </xf>
    <xf numFmtId="167" fontId="9" fillId="15" borderId="1" xfId="0" applyNumberFormat="1" applyFont="1" applyFill="1" applyBorder="1" applyAlignment="1">
      <alignment horizontal="center" vertical="center" shrinkToFit="1"/>
    </xf>
    <xf numFmtId="0" fontId="9" fillId="0" borderId="0" xfId="0" applyFont="1" applyAlignment="1">
      <alignment vertical="center"/>
    </xf>
    <xf numFmtId="0" fontId="9" fillId="2" borderId="2" xfId="0" applyFont="1" applyFill="1" applyBorder="1" applyAlignment="1">
      <alignment horizontal="left" vertical="center" indent="1"/>
    </xf>
    <xf numFmtId="167" fontId="9" fillId="2" borderId="3" xfId="0" applyNumberFormat="1" applyFont="1" applyFill="1" applyBorder="1" applyAlignment="1">
      <alignment horizontal="center" vertical="center" shrinkToFit="1"/>
    </xf>
    <xf numFmtId="167" fontId="9"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9"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9"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9" fillId="2" borderId="1" xfId="0" applyFont="1" applyFill="1" applyBorder="1" applyAlignment="1">
      <alignment horizontal="center" vertical="center"/>
    </xf>
    <xf numFmtId="0" fontId="9" fillId="0" borderId="3" xfId="0" applyFont="1" applyBorder="1" applyAlignment="1">
      <alignment horizontal="left" vertical="center" indent="1"/>
    </xf>
    <xf numFmtId="167" fontId="9" fillId="0" borderId="3" xfId="0" applyNumberFormat="1" applyFont="1" applyBorder="1" applyAlignment="1">
      <alignment horizontal="center" vertical="center" shrinkToFit="1"/>
    </xf>
    <xf numFmtId="0" fontId="49" fillId="15" borderId="1" xfId="0" applyFont="1" applyFill="1" applyBorder="1" applyAlignment="1">
      <alignment horizontal="left" vertical="center" wrapText="1" indent="1"/>
    </xf>
    <xf numFmtId="167" fontId="49" fillId="15" borderId="1" xfId="0" applyNumberFormat="1" applyFont="1" applyFill="1" applyBorder="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52" fillId="0" borderId="0" xfId="0" applyFont="1" applyAlignment="1">
      <alignment horizontal="left" vertical="center" indent="1"/>
    </xf>
    <xf numFmtId="167" fontId="52" fillId="0" borderId="0" xfId="0" applyNumberFormat="1" applyFont="1" applyAlignment="1">
      <alignment horizontal="center" vertical="center" shrinkToFit="1"/>
    </xf>
    <xf numFmtId="0" fontId="52" fillId="0" borderId="0" xfId="0" applyFont="1" applyAlignment="1">
      <alignment horizontal="center" vertical="center"/>
    </xf>
    <xf numFmtId="0" fontId="52"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3"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9" fillId="0" borderId="4" xfId="0" applyNumberFormat="1" applyFont="1" applyBorder="1" applyAlignment="1">
      <alignment horizontal="center" vertical="center" shrinkToFit="1"/>
    </xf>
    <xf numFmtId="0" fontId="53" fillId="0" borderId="0" xfId="0" applyFont="1" applyAlignment="1">
      <alignment vertical="center"/>
    </xf>
    <xf numFmtId="0" fontId="34" fillId="0" borderId="7" xfId="0" applyFont="1" applyBorder="1" applyAlignment="1">
      <alignment horizontal="center" vertical="center"/>
    </xf>
    <xf numFmtId="0" fontId="13" fillId="0" borderId="0" xfId="0" applyFont="1" applyAlignment="1">
      <alignment horizontal="left" vertical="center" indent="1"/>
    </xf>
    <xf numFmtId="0" fontId="0" fillId="0" borderId="0" xfId="0" applyAlignment="1">
      <alignment horizontal="center" vertical="center" wrapText="1"/>
    </xf>
    <xf numFmtId="0" fontId="15" fillId="0" borderId="1" xfId="0" applyFont="1" applyBorder="1" applyAlignment="1">
      <alignment horizontal="left" vertical="center" wrapText="1" indent="1"/>
    </xf>
    <xf numFmtId="0" fontId="15"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5" fillId="0" borderId="0" xfId="0" applyFont="1" applyAlignment="1">
      <alignment horizontal="left" vertical="center" indent="1"/>
    </xf>
    <xf numFmtId="0" fontId="15" fillId="0" borderId="12" xfId="0" applyFont="1" applyBorder="1" applyAlignment="1">
      <alignment horizontal="left" vertical="center" wrapText="1" indent="1"/>
    </xf>
    <xf numFmtId="0" fontId="9" fillId="17" borderId="1" xfId="0" applyFont="1" applyFill="1" applyBorder="1" applyAlignment="1">
      <alignment horizontal="left" vertical="center" wrapText="1" indent="1"/>
    </xf>
    <xf numFmtId="0" fontId="9"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9" fillId="17" borderId="1" xfId="0" applyNumberFormat="1" applyFont="1" applyFill="1" applyBorder="1" applyAlignment="1">
      <alignment horizontal="center" vertical="center"/>
    </xf>
    <xf numFmtId="0" fontId="55" fillId="0" borderId="0" xfId="0" applyFont="1" applyAlignment="1" applyProtection="1">
      <alignment horizontal="left" vertical="center" indent="1"/>
      <protection locked="0"/>
    </xf>
    <xf numFmtId="0" fontId="56" fillId="0" borderId="0" xfId="0" applyFont="1" applyAlignment="1">
      <alignment horizontal="left" vertical="center" indent="1"/>
    </xf>
    <xf numFmtId="0" fontId="49" fillId="0" borderId="0" xfId="0" applyFont="1" applyAlignment="1">
      <alignment horizontal="left" vertical="center"/>
    </xf>
    <xf numFmtId="0" fontId="57" fillId="0" borderId="1" xfId="0" applyFont="1" applyBorder="1" applyAlignment="1">
      <alignment horizontal="center" vertical="center"/>
    </xf>
    <xf numFmtId="0" fontId="57" fillId="0" borderId="0" xfId="0" applyFont="1" applyAlignment="1">
      <alignment horizontal="center" vertical="center"/>
    </xf>
    <xf numFmtId="0" fontId="58" fillId="2" borderId="3" xfId="0" applyFont="1" applyFill="1" applyBorder="1" applyAlignment="1">
      <alignment horizontal="center" vertical="center"/>
    </xf>
    <xf numFmtId="0" fontId="58" fillId="2" borderId="4" xfId="0" applyFont="1" applyFill="1" applyBorder="1" applyAlignment="1">
      <alignment horizontal="center" vertical="center"/>
    </xf>
    <xf numFmtId="0" fontId="58" fillId="0" borderId="0" xfId="0" applyFont="1" applyAlignment="1">
      <alignment horizontal="center" vertical="center"/>
    </xf>
    <xf numFmtId="0" fontId="57" fillId="0" borderId="1" xfId="0" applyFont="1" applyBorder="1" applyAlignment="1">
      <alignment horizontal="left" vertical="center" indent="1"/>
    </xf>
    <xf numFmtId="0" fontId="59"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9"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9" fillId="19" borderId="1" xfId="0" applyFont="1" applyFill="1" applyBorder="1" applyAlignment="1">
      <alignment horizontal="left" vertical="center" indent="1"/>
    </xf>
    <xf numFmtId="0" fontId="49" fillId="19" borderId="1" xfId="0" applyFont="1" applyFill="1" applyBorder="1" applyAlignment="1">
      <alignment horizontal="center" vertical="center"/>
    </xf>
    <xf numFmtId="167" fontId="9"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5" fillId="0" borderId="0" xfId="0" applyFont="1" applyAlignment="1">
      <alignment horizontal="center" vertical="center"/>
    </xf>
    <xf numFmtId="0" fontId="41"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0" fillId="0" borderId="0" xfId="0" applyFont="1" applyAlignment="1">
      <alignment horizontal="left" vertical="center" wrapText="1" indent="1"/>
    </xf>
    <xf numFmtId="0" fontId="61"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0" fillId="0" borderId="0" xfId="0" applyFont="1" applyAlignment="1">
      <alignment horizontal="left" vertical="center" indent="1"/>
    </xf>
    <xf numFmtId="0" fontId="62" fillId="0" borderId="0" xfId="0" applyFont="1" applyAlignment="1">
      <alignment vertical="center"/>
    </xf>
    <xf numFmtId="0" fontId="0" fillId="0" borderId="0" xfId="0" applyAlignment="1">
      <alignment horizontal="right" vertical="center" indent="1"/>
    </xf>
    <xf numFmtId="0" fontId="64" fillId="0" borderId="0" xfId="0" applyFont="1" applyAlignment="1">
      <alignment horizontal="center" vertical="center"/>
    </xf>
    <xf numFmtId="0" fontId="0" fillId="10" borderId="10" xfId="0" applyFill="1" applyBorder="1" applyAlignment="1">
      <alignment horizontal="center" vertical="center"/>
    </xf>
    <xf numFmtId="3" fontId="49" fillId="23" borderId="10" xfId="0" applyNumberFormat="1" applyFont="1" applyFill="1" applyBorder="1" applyAlignment="1">
      <alignment horizontal="center" vertical="center"/>
    </xf>
    <xf numFmtId="0" fontId="65" fillId="0" borderId="1" xfId="0" applyFont="1" applyBorder="1" applyAlignment="1">
      <alignment horizontal="left" vertical="center" indent="1"/>
    </xf>
    <xf numFmtId="0" fontId="62" fillId="0" borderId="1" xfId="0" applyFont="1" applyBorder="1" applyAlignment="1">
      <alignment horizontal="center" vertical="center"/>
    </xf>
    <xf numFmtId="0" fontId="65" fillId="10" borderId="1" xfId="0" applyFont="1" applyFill="1" applyBorder="1" applyAlignment="1">
      <alignment horizontal="center" vertical="center"/>
    </xf>
    <xf numFmtId="0" fontId="65" fillId="23" borderId="1" xfId="0" applyFont="1" applyFill="1" applyBorder="1" applyAlignment="1">
      <alignment horizontal="center" vertical="center"/>
    </xf>
    <xf numFmtId="0" fontId="65"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9"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7" fillId="2" borderId="1" xfId="0" applyNumberFormat="1" applyFont="1" applyFill="1" applyBorder="1" applyAlignment="1">
      <alignment horizontal="left" vertical="center" shrinkToFit="1"/>
    </xf>
    <xf numFmtId="167" fontId="46" fillId="2" borderId="1" xfId="0" applyNumberFormat="1" applyFont="1" applyFill="1" applyBorder="1" applyAlignment="1">
      <alignment horizontal="right" vertical="center" shrinkToFit="1"/>
    </xf>
    <xf numFmtId="167" fontId="46" fillId="0" borderId="0" xfId="0" applyNumberFormat="1" applyFont="1" applyAlignment="1">
      <alignment horizontal="right" vertical="center" shrinkToFit="1"/>
    </xf>
    <xf numFmtId="167" fontId="46" fillId="0" borderId="0" xfId="0" applyNumberFormat="1" applyFont="1" applyAlignment="1">
      <alignment horizontal="right" vertical="center"/>
    </xf>
    <xf numFmtId="167" fontId="11" fillId="2" borderId="1" xfId="0" applyNumberFormat="1" applyFont="1" applyFill="1" applyBorder="1" applyAlignment="1">
      <alignment horizontal="center" vertical="center" shrinkToFit="1"/>
    </xf>
    <xf numFmtId="167" fontId="46" fillId="0" borderId="1" xfId="0" applyNumberFormat="1" applyFont="1" applyBorder="1" applyAlignment="1">
      <alignment horizontal="center" vertical="center" shrinkToFit="1"/>
    </xf>
    <xf numFmtId="167" fontId="46" fillId="0" borderId="1" xfId="0" applyNumberFormat="1" applyFont="1" applyBorder="1" applyAlignment="1">
      <alignment vertical="center" shrinkToFit="1"/>
    </xf>
    <xf numFmtId="167" fontId="46" fillId="0" borderId="0" xfId="0" applyNumberFormat="1" applyFont="1" applyAlignment="1">
      <alignment vertical="center" shrinkToFit="1"/>
    </xf>
    <xf numFmtId="167" fontId="46" fillId="0" borderId="0" xfId="0" applyNumberFormat="1" applyFont="1" applyAlignment="1">
      <alignment vertical="center"/>
    </xf>
    <xf numFmtId="167" fontId="46" fillId="2" borderId="1" xfId="0" applyNumberFormat="1" applyFont="1" applyFill="1" applyBorder="1" applyAlignment="1">
      <alignment horizontal="center" vertical="center" shrinkToFit="1"/>
    </xf>
    <xf numFmtId="167" fontId="46" fillId="2" borderId="1" xfId="0" applyNumberFormat="1" applyFont="1" applyFill="1" applyBorder="1" applyAlignment="1">
      <alignment vertical="center" shrinkToFit="1"/>
    </xf>
    <xf numFmtId="167" fontId="46"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6" fillId="0" borderId="0" xfId="0" applyNumberFormat="1" applyFont="1" applyAlignment="1">
      <alignment horizontal="left" vertical="center" indent="1"/>
    </xf>
    <xf numFmtId="167" fontId="46"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9" fillId="22" borderId="1" xfId="0" applyFont="1" applyFill="1" applyBorder="1" applyAlignment="1">
      <alignment horizontal="center" vertical="center"/>
    </xf>
    <xf numFmtId="0" fontId="68" fillId="0" borderId="0" xfId="0" applyFont="1" applyAlignment="1">
      <alignment vertical="center"/>
    </xf>
    <xf numFmtId="0" fontId="46" fillId="0" borderId="1" xfId="0" applyFont="1" applyBorder="1" applyAlignment="1">
      <alignment vertical="top" wrapText="1"/>
    </xf>
    <xf numFmtId="0" fontId="46" fillId="0" borderId="1" xfId="0" applyFont="1" applyBorder="1" applyAlignment="1">
      <alignment wrapText="1"/>
    </xf>
    <xf numFmtId="0" fontId="69" fillId="0" borderId="1" xfId="0" applyFont="1" applyBorder="1" applyAlignment="1">
      <alignment horizontal="left" vertical="center" wrapText="1" indent="1"/>
    </xf>
    <xf numFmtId="0" fontId="72" fillId="0" borderId="0" xfId="3" applyFont="1"/>
    <xf numFmtId="0" fontId="5" fillId="0" borderId="0" xfId="3"/>
    <xf numFmtId="9" fontId="5" fillId="0" borderId="0" xfId="3" applyNumberFormat="1"/>
    <xf numFmtId="9" fontId="0" fillId="0" borderId="0" xfId="4" applyFont="1"/>
    <xf numFmtId="0" fontId="5" fillId="0" borderId="0" xfId="3" applyAlignment="1">
      <alignment horizontal="left" indent="2"/>
    </xf>
    <xf numFmtId="0" fontId="73" fillId="0" borderId="0" xfId="3" applyFont="1"/>
    <xf numFmtId="2" fontId="5" fillId="0" borderId="0" xfId="3" applyNumberFormat="1"/>
    <xf numFmtId="0" fontId="5" fillId="0" borderId="0" xfId="3" applyAlignment="1">
      <alignment wrapText="1"/>
    </xf>
    <xf numFmtId="3" fontId="5" fillId="0" borderId="0" xfId="3" applyNumberFormat="1"/>
    <xf numFmtId="0" fontId="73" fillId="0" borderId="0" xfId="3" applyFont="1" applyAlignment="1">
      <alignment horizontal="right"/>
    </xf>
    <xf numFmtId="3" fontId="73" fillId="0" borderId="0" xfId="3" applyNumberFormat="1" applyFont="1"/>
    <xf numFmtId="0" fontId="82" fillId="0" borderId="0" xfId="5" applyFont="1"/>
    <xf numFmtId="0" fontId="83" fillId="0" borderId="0" xfId="5" applyFont="1"/>
    <xf numFmtId="0" fontId="82" fillId="0" borderId="2" xfId="5" applyFont="1" applyBorder="1"/>
    <xf numFmtId="0" fontId="82" fillId="0" borderId="3" xfId="5" applyFont="1" applyBorder="1"/>
    <xf numFmtId="0" fontId="82" fillId="0" borderId="1" xfId="5" applyFont="1" applyBorder="1"/>
    <xf numFmtId="0" fontId="84" fillId="0" borderId="0" xfId="6"/>
    <xf numFmtId="0" fontId="85" fillId="0" borderId="1" xfId="6" applyFont="1" applyBorder="1" applyAlignment="1">
      <alignment horizontal="center"/>
    </xf>
    <xf numFmtId="0" fontId="82" fillId="29" borderId="1" xfId="5" applyFont="1" applyFill="1" applyBorder="1"/>
    <xf numFmtId="0" fontId="82" fillId="29" borderId="1" xfId="5" applyFont="1" applyFill="1" applyBorder="1" applyAlignment="1">
      <alignment horizontal="center"/>
    </xf>
    <xf numFmtId="0" fontId="85" fillId="29" borderId="1" xfId="6" applyFont="1" applyFill="1" applyBorder="1"/>
    <xf numFmtId="0" fontId="82" fillId="0" borderId="1" xfId="5" applyFont="1" applyBorder="1" applyAlignment="1">
      <alignment horizontal="center"/>
    </xf>
    <xf numFmtId="174" fontId="82" fillId="0" borderId="1" xfId="5" applyNumberFormat="1" applyFont="1" applyBorder="1"/>
    <xf numFmtId="1" fontId="82" fillId="0" borderId="1" xfId="5" applyNumberFormat="1" applyFont="1" applyBorder="1"/>
    <xf numFmtId="1" fontId="82" fillId="30" borderId="1" xfId="5" applyNumberFormat="1" applyFont="1" applyFill="1" applyBorder="1"/>
    <xf numFmtId="3" fontId="82" fillId="0" borderId="1" xfId="5" applyNumberFormat="1" applyFont="1" applyBorder="1"/>
    <xf numFmtId="176" fontId="82" fillId="0" borderId="1" xfId="5" applyNumberFormat="1" applyFont="1" applyBorder="1"/>
    <xf numFmtId="177" fontId="82" fillId="0" borderId="1" xfId="5" applyNumberFormat="1" applyFont="1" applyBorder="1"/>
    <xf numFmtId="3" fontId="82" fillId="3" borderId="1" xfId="5" applyNumberFormat="1" applyFont="1" applyFill="1" applyBorder="1"/>
    <xf numFmtId="1" fontId="82" fillId="3" borderId="1" xfId="5" applyNumberFormat="1" applyFont="1" applyFill="1" applyBorder="1"/>
    <xf numFmtId="176" fontId="82" fillId="3" borderId="1" xfId="5" applyNumberFormat="1" applyFont="1" applyFill="1" applyBorder="1"/>
    <xf numFmtId="176" fontId="82" fillId="0" borderId="0" xfId="5" applyNumberFormat="1" applyFont="1"/>
    <xf numFmtId="3" fontId="82" fillId="0" borderId="0" xfId="5" applyNumberFormat="1" applyFont="1"/>
    <xf numFmtId="1" fontId="82" fillId="0" borderId="0" xfId="5" applyNumberFormat="1" applyFont="1"/>
    <xf numFmtId="178" fontId="82" fillId="0" borderId="1" xfId="5" applyNumberFormat="1" applyFont="1" applyBorder="1"/>
    <xf numFmtId="177" fontId="82" fillId="0" borderId="0" xfId="5" applyNumberFormat="1" applyFont="1"/>
    <xf numFmtId="178" fontId="82" fillId="0" borderId="0" xfId="5" applyNumberFormat="1" applyFont="1"/>
    <xf numFmtId="2" fontId="85" fillId="0" borderId="1" xfId="6" applyNumberFormat="1" applyFont="1" applyBorder="1" applyAlignment="1">
      <alignment horizontal="center"/>
    </xf>
    <xf numFmtId="2" fontId="85" fillId="0" borderId="0" xfId="6" applyNumberFormat="1" applyFont="1" applyAlignment="1">
      <alignment horizontal="center"/>
    </xf>
    <xf numFmtId="0" fontId="87" fillId="0" borderId="0" xfId="6" applyFont="1"/>
    <xf numFmtId="0" fontId="82" fillId="0" borderId="0" xfId="5" applyFont="1" applyAlignment="1">
      <alignment horizontal="left"/>
    </xf>
    <xf numFmtId="178" fontId="82" fillId="3" borderId="1" xfId="5" applyNumberFormat="1" applyFont="1" applyFill="1" applyBorder="1"/>
    <xf numFmtId="178" fontId="82" fillId="3" borderId="16" xfId="5" applyNumberFormat="1" applyFont="1" applyFill="1" applyBorder="1"/>
    <xf numFmtId="0" fontId="82" fillId="30" borderId="0" xfId="5" applyFont="1" applyFill="1"/>
    <xf numFmtId="0" fontId="87" fillId="30" borderId="0" xfId="6" applyFont="1" applyFill="1" applyAlignment="1">
      <alignment wrapText="1"/>
    </xf>
    <xf numFmtId="0" fontId="87" fillId="3" borderId="28" xfId="6" applyFont="1" applyFill="1" applyBorder="1"/>
    <xf numFmtId="2" fontId="87" fillId="30" borderId="0" xfId="6" applyNumberFormat="1" applyFont="1" applyFill="1"/>
    <xf numFmtId="1" fontId="88" fillId="30" borderId="0" xfId="6" applyNumberFormat="1" applyFont="1" applyFill="1"/>
    <xf numFmtId="0" fontId="87" fillId="3" borderId="31" xfId="6" applyFont="1" applyFill="1" applyBorder="1"/>
    <xf numFmtId="0" fontId="87" fillId="30" borderId="0" xfId="6" applyFont="1" applyFill="1"/>
    <xf numFmtId="9" fontId="87" fillId="3" borderId="30" xfId="7" applyFont="1" applyFill="1" applyBorder="1"/>
    <xf numFmtId="3" fontId="87" fillId="3" borderId="34" xfId="6" applyNumberFormat="1" applyFont="1" applyFill="1" applyBorder="1"/>
    <xf numFmtId="0" fontId="87" fillId="3" borderId="35" xfId="6" applyFont="1" applyFill="1" applyBorder="1"/>
    <xf numFmtId="3" fontId="87" fillId="30" borderId="0" xfId="6" applyNumberFormat="1" applyFont="1" applyFill="1"/>
    <xf numFmtId="0" fontId="82" fillId="0" borderId="16" xfId="5" applyFont="1" applyBorder="1" applyAlignment="1">
      <alignment wrapText="1"/>
    </xf>
    <xf numFmtId="177" fontId="83" fillId="0" borderId="36" xfId="5" applyNumberFormat="1" applyFont="1" applyBorder="1"/>
    <xf numFmtId="0" fontId="82" fillId="0" borderId="37" xfId="5" applyFont="1" applyBorder="1"/>
    <xf numFmtId="177" fontId="83" fillId="0" borderId="0" xfId="5" applyNumberFormat="1" applyFont="1"/>
    <xf numFmtId="2" fontId="85" fillId="0" borderId="0" xfId="7" applyNumberFormat="1" applyFont="1" applyBorder="1" applyAlignment="1">
      <alignment horizontal="center"/>
    </xf>
    <xf numFmtId="0" fontId="82" fillId="0" borderId="38" xfId="5" applyFont="1" applyBorder="1" applyAlignment="1">
      <alignment wrapText="1"/>
    </xf>
    <xf numFmtId="177" fontId="83" fillId="0" borderId="39" xfId="5" applyNumberFormat="1" applyFont="1" applyBorder="1"/>
    <xf numFmtId="0" fontId="82" fillId="0" borderId="40" xfId="5" applyFont="1" applyBorder="1"/>
    <xf numFmtId="0" fontId="82" fillId="0" borderId="41" xfId="5" applyFont="1" applyBorder="1" applyAlignment="1">
      <alignment wrapText="1"/>
    </xf>
    <xf numFmtId="177" fontId="83" fillId="25" borderId="42" xfId="5" applyNumberFormat="1" applyFont="1" applyFill="1" applyBorder="1"/>
    <xf numFmtId="0" fontId="82" fillId="0" borderId="43" xfId="5" applyFont="1" applyBorder="1"/>
    <xf numFmtId="3" fontId="83" fillId="0" borderId="42" xfId="5" applyNumberFormat="1" applyFont="1" applyBorder="1"/>
    <xf numFmtId="180" fontId="83" fillId="0" borderId="0" xfId="5" applyNumberFormat="1" applyFont="1"/>
    <xf numFmtId="0" fontId="82" fillId="0" borderId="17" xfId="5" applyFont="1" applyBorder="1" applyAlignment="1">
      <alignment wrapText="1"/>
    </xf>
    <xf numFmtId="3" fontId="83" fillId="0" borderId="44" xfId="5" applyNumberFormat="1" applyFont="1" applyBorder="1"/>
    <xf numFmtId="0" fontId="82" fillId="0" borderId="45" xfId="5" applyFont="1" applyBorder="1"/>
    <xf numFmtId="3" fontId="83" fillId="0" borderId="0" xfId="5" applyNumberFormat="1" applyFont="1"/>
    <xf numFmtId="0" fontId="86" fillId="0" borderId="0" xfId="6" applyFont="1" applyAlignment="1">
      <alignment wrapText="1"/>
    </xf>
    <xf numFmtId="0" fontId="86" fillId="0" borderId="0" xfId="6" applyFont="1"/>
    <xf numFmtId="0" fontId="89" fillId="29" borderId="1" xfId="5" applyFont="1" applyFill="1" applyBorder="1"/>
    <xf numFmtId="0" fontId="91" fillId="0" borderId="1" xfId="5" applyFont="1" applyBorder="1"/>
    <xf numFmtId="0" fontId="90" fillId="0" borderId="1" xfId="5" applyFont="1" applyBorder="1"/>
    <xf numFmtId="0" fontId="89" fillId="0" borderId="1" xfId="5" applyFont="1" applyBorder="1"/>
    <xf numFmtId="174" fontId="89" fillId="0" borderId="1" xfId="5" applyNumberFormat="1" applyFont="1" applyBorder="1"/>
    <xf numFmtId="0" fontId="89" fillId="0" borderId="1" xfId="5" applyFont="1" applyBorder="1" applyAlignment="1">
      <alignment horizontal="left" indent="1"/>
    </xf>
    <xf numFmtId="1" fontId="89" fillId="30" borderId="1" xfId="5" applyNumberFormat="1" applyFont="1" applyFill="1" applyBorder="1"/>
    <xf numFmtId="174" fontId="89" fillId="30" borderId="1" xfId="5" applyNumberFormat="1" applyFont="1" applyFill="1" applyBorder="1"/>
    <xf numFmtId="3" fontId="89" fillId="0" borderId="1" xfId="5" applyNumberFormat="1" applyFont="1" applyBorder="1"/>
    <xf numFmtId="0" fontId="90" fillId="0" borderId="1" xfId="5" applyFont="1" applyBorder="1" applyAlignment="1">
      <alignment wrapText="1"/>
    </xf>
    <xf numFmtId="175" fontId="89" fillId="0" borderId="1" xfId="5" applyNumberFormat="1" applyFont="1" applyBorder="1"/>
    <xf numFmtId="176" fontId="89" fillId="0" borderId="1" xfId="5" applyNumberFormat="1" applyFont="1" applyBorder="1"/>
    <xf numFmtId="9" fontId="89" fillId="0" borderId="1" xfId="5" applyNumberFormat="1" applyFont="1" applyBorder="1"/>
    <xf numFmtId="1" fontId="89" fillId="0" borderId="1" xfId="5" applyNumberFormat="1" applyFont="1" applyBorder="1"/>
    <xf numFmtId="168" fontId="89" fillId="0" borderId="1" xfId="5" applyNumberFormat="1" applyFont="1" applyBorder="1"/>
    <xf numFmtId="177" fontId="89" fillId="0" borderId="1" xfId="5" applyNumberFormat="1" applyFont="1" applyBorder="1"/>
    <xf numFmtId="0" fontId="89" fillId="0" borderId="1" xfId="5" applyFont="1" applyBorder="1" applyAlignment="1">
      <alignment horizontal="left" indent="3"/>
    </xf>
    <xf numFmtId="10" fontId="89" fillId="0" borderId="1" xfId="5" applyNumberFormat="1" applyFont="1" applyBorder="1" applyAlignment="1">
      <alignment horizontal="right"/>
    </xf>
    <xf numFmtId="10" fontId="89" fillId="0" borderId="1" xfId="5" applyNumberFormat="1" applyFont="1" applyBorder="1" applyAlignment="1">
      <alignment horizontal="left" indent="3"/>
    </xf>
    <xf numFmtId="0" fontId="89" fillId="0" borderId="1" xfId="5" applyFont="1" applyBorder="1" applyAlignment="1">
      <alignment wrapText="1"/>
    </xf>
    <xf numFmtId="0" fontId="89" fillId="0" borderId="1" xfId="5" applyFont="1" applyBorder="1" applyAlignment="1">
      <alignment horizontal="left" wrapText="1" indent="1"/>
    </xf>
    <xf numFmtId="0" fontId="89" fillId="0" borderId="1" xfId="5" applyFont="1" applyBorder="1" applyAlignment="1">
      <alignment horizontal="left" indent="4"/>
    </xf>
    <xf numFmtId="0" fontId="92" fillId="3" borderId="1" xfId="5" applyFont="1" applyFill="1" applyBorder="1" applyAlignment="1">
      <alignment wrapText="1"/>
    </xf>
    <xf numFmtId="0" fontId="90" fillId="3" borderId="1" xfId="5" applyFont="1" applyFill="1" applyBorder="1"/>
    <xf numFmtId="177" fontId="89" fillId="3" borderId="1" xfId="5" applyNumberFormat="1" applyFont="1" applyFill="1" applyBorder="1"/>
    <xf numFmtId="0" fontId="89" fillId="3" borderId="1" xfId="5" applyFont="1" applyFill="1" applyBorder="1" applyAlignment="1">
      <alignment horizontal="left" wrapText="1" indent="2"/>
    </xf>
    <xf numFmtId="0" fontId="89" fillId="3" borderId="1" xfId="5" applyFont="1" applyFill="1" applyBorder="1" applyAlignment="1">
      <alignment horizontal="left" wrapText="1" indent="4"/>
    </xf>
    <xf numFmtId="0" fontId="92" fillId="3" borderId="1" xfId="5" applyFont="1" applyFill="1" applyBorder="1"/>
    <xf numFmtId="3" fontId="89" fillId="3" borderId="1" xfId="5" applyNumberFormat="1" applyFont="1" applyFill="1" applyBorder="1"/>
    <xf numFmtId="0" fontId="89" fillId="3" borderId="1" xfId="5" applyFont="1" applyFill="1" applyBorder="1" applyAlignment="1">
      <alignment horizontal="left" indent="1"/>
    </xf>
    <xf numFmtId="1" fontId="89" fillId="3" borderId="1" xfId="5" applyNumberFormat="1" applyFont="1" applyFill="1" applyBorder="1"/>
    <xf numFmtId="0" fontId="89" fillId="3" borderId="1" xfId="5" applyFont="1" applyFill="1" applyBorder="1"/>
    <xf numFmtId="176" fontId="89" fillId="3" borderId="1" xfId="5" applyNumberFormat="1" applyFont="1" applyFill="1" applyBorder="1"/>
    <xf numFmtId="0" fontId="90" fillId="3" borderId="1" xfId="5" applyFont="1" applyFill="1" applyBorder="1" applyAlignment="1">
      <alignment wrapText="1"/>
    </xf>
    <xf numFmtId="0" fontId="89" fillId="0" borderId="0" xfId="5" applyFont="1" applyAlignment="1">
      <alignment horizontal="left" indent="1"/>
    </xf>
    <xf numFmtId="0" fontId="89" fillId="0" borderId="0" xfId="5" applyFont="1"/>
    <xf numFmtId="0" fontId="90" fillId="0" borderId="0" xfId="5" applyFont="1"/>
    <xf numFmtId="3" fontId="89" fillId="0" borderId="0" xfId="5" applyNumberFormat="1" applyFont="1"/>
    <xf numFmtId="0" fontId="92" fillId="0" borderId="0" xfId="5" applyFont="1"/>
    <xf numFmtId="0" fontId="89" fillId="0" borderId="2" xfId="5" applyFont="1" applyBorder="1"/>
    <xf numFmtId="178" fontId="89" fillId="0" borderId="1" xfId="5" applyNumberFormat="1" applyFont="1" applyBorder="1"/>
    <xf numFmtId="177" fontId="89" fillId="0" borderId="0" xfId="5" applyNumberFormat="1" applyFont="1"/>
    <xf numFmtId="178" fontId="89" fillId="0" borderId="0" xfId="5" applyNumberFormat="1" applyFont="1"/>
    <xf numFmtId="0" fontId="87" fillId="0" borderId="1" xfId="6" applyFont="1" applyBorder="1" applyAlignment="1">
      <alignment wrapText="1"/>
    </xf>
    <xf numFmtId="9" fontId="90" fillId="0" borderId="0" xfId="5" applyNumberFormat="1" applyFont="1"/>
    <xf numFmtId="0" fontId="87" fillId="0" borderId="0" xfId="6" applyFont="1" applyAlignment="1">
      <alignment wrapText="1"/>
    </xf>
    <xf numFmtId="0" fontId="85" fillId="0" borderId="0" xfId="6" applyFont="1" applyAlignment="1">
      <alignment horizontal="center"/>
    </xf>
    <xf numFmtId="0" fontId="87" fillId="3" borderId="1" xfId="6" applyFont="1" applyFill="1" applyBorder="1" applyAlignment="1">
      <alignment wrapText="1"/>
    </xf>
    <xf numFmtId="178" fontId="89" fillId="3" borderId="1" xfId="5" applyNumberFormat="1" applyFont="1" applyFill="1" applyBorder="1"/>
    <xf numFmtId="0" fontId="89" fillId="30" borderId="0" xfId="5" applyFont="1" applyFill="1"/>
    <xf numFmtId="0" fontId="90" fillId="30" borderId="0" xfId="5" applyFont="1" applyFill="1"/>
    <xf numFmtId="0" fontId="89" fillId="0" borderId="1" xfId="5" applyFont="1" applyBorder="1" applyAlignment="1">
      <alignment horizontal="left" indent="2"/>
    </xf>
    <xf numFmtId="0" fontId="0" fillId="0" borderId="1" xfId="0" applyBorder="1" applyAlignment="1">
      <alignment horizontal="center" vertical="top" wrapText="1"/>
    </xf>
    <xf numFmtId="0" fontId="0" fillId="0" borderId="1" xfId="0" applyBorder="1"/>
    <xf numFmtId="0" fontId="72" fillId="11" borderId="1" xfId="0" applyFont="1" applyFill="1" applyBorder="1" applyAlignment="1">
      <alignment horizontal="left"/>
    </xf>
    <xf numFmtId="0" fontId="72" fillId="11" borderId="1" xfId="0" applyFont="1" applyFill="1" applyBorder="1" applyAlignment="1">
      <alignment horizontal="center"/>
    </xf>
    <xf numFmtId="9" fontId="0" fillId="0" borderId="0" xfId="1" applyFont="1" applyBorder="1"/>
    <xf numFmtId="9" fontId="0" fillId="0" borderId="0" xfId="1" applyFont="1"/>
    <xf numFmtId="0" fontId="72" fillId="0" borderId="0" xfId="0" applyFont="1"/>
    <xf numFmtId="1" fontId="0" fillId="0" borderId="0" xfId="0" applyNumberFormat="1"/>
    <xf numFmtId="0" fontId="71" fillId="0" borderId="1" xfId="0" applyFont="1" applyBorder="1"/>
    <xf numFmtId="3" fontId="71" fillId="0" borderId="1" xfId="0" applyNumberFormat="1" applyFont="1" applyBorder="1"/>
    <xf numFmtId="1" fontId="71" fillId="0" borderId="1" xfId="0" applyNumberFormat="1" applyFont="1" applyBorder="1"/>
    <xf numFmtId="3" fontId="0" fillId="0" borderId="1" xfId="0" applyNumberFormat="1" applyBorder="1"/>
    <xf numFmtId="1" fontId="0" fillId="0" borderId="1" xfId="0" applyNumberFormat="1" applyBorder="1"/>
    <xf numFmtId="3" fontId="0" fillId="0" borderId="0" xfId="0" applyNumberFormat="1"/>
    <xf numFmtId="0" fontId="0" fillId="0" borderId="0" xfId="0" applyAlignment="1">
      <alignment horizontal="center" vertical="top" wrapText="1"/>
    </xf>
    <xf numFmtId="9" fontId="0" fillId="0" borderId="0" xfId="1" applyFont="1" applyFill="1" applyBorder="1"/>
    <xf numFmtId="3" fontId="72" fillId="0" borderId="1" xfId="0" applyNumberFormat="1" applyFont="1" applyBorder="1"/>
    <xf numFmtId="9" fontId="72" fillId="0" borderId="0" xfId="1" applyFont="1" applyFill="1" applyBorder="1"/>
    <xf numFmtId="0" fontId="0" fillId="28" borderId="3" xfId="0" applyFill="1" applyBorder="1"/>
    <xf numFmtId="3" fontId="72" fillId="28" borderId="1" xfId="0" applyNumberFormat="1" applyFont="1" applyFill="1" applyBorder="1"/>
    <xf numFmtId="0" fontId="0" fillId="28" borderId="1" xfId="0" applyFill="1" applyBorder="1"/>
    <xf numFmtId="3" fontId="0" fillId="0" borderId="1" xfId="0" applyNumberFormat="1" applyBorder="1" applyAlignment="1">
      <alignment wrapText="1"/>
    </xf>
    <xf numFmtId="9" fontId="0" fillId="0" borderId="0" xfId="1" applyFont="1" applyFill="1"/>
    <xf numFmtId="3" fontId="71" fillId="0" borderId="1" xfId="0" applyNumberFormat="1" applyFont="1" applyBorder="1" applyAlignment="1">
      <alignment wrapText="1"/>
    </xf>
    <xf numFmtId="3" fontId="79" fillId="0" borderId="1" xfId="0" applyNumberFormat="1" applyFont="1" applyBorder="1" applyAlignment="1">
      <alignment wrapText="1"/>
    </xf>
    <xf numFmtId="3" fontId="81" fillId="0" borderId="1" xfId="0" applyNumberFormat="1" applyFont="1" applyBorder="1" applyAlignment="1">
      <alignment wrapText="1"/>
    </xf>
    <xf numFmtId="3" fontId="80" fillId="0" borderId="1" xfId="0" applyNumberFormat="1" applyFont="1" applyBorder="1" applyAlignment="1">
      <alignment wrapText="1"/>
    </xf>
    <xf numFmtId="168" fontId="0" fillId="0" borderId="0" xfId="1" applyNumberFormat="1" applyFont="1" applyFill="1"/>
    <xf numFmtId="3" fontId="74" fillId="0" borderId="1" xfId="0" applyNumberFormat="1" applyFont="1" applyBorder="1"/>
    <xf numFmtId="0" fontId="74" fillId="0" borderId="1" xfId="0" applyFont="1" applyBorder="1"/>
    <xf numFmtId="1" fontId="74" fillId="0" borderId="1" xfId="0" applyNumberFormat="1" applyFont="1" applyBorder="1"/>
    <xf numFmtId="3" fontId="74" fillId="0" borderId="1" xfId="0" applyNumberFormat="1" applyFont="1" applyBorder="1" applyAlignment="1">
      <alignment wrapText="1"/>
    </xf>
    <xf numFmtId="3" fontId="78" fillId="0" borderId="1" xfId="0" applyNumberFormat="1" applyFont="1" applyBorder="1" applyAlignment="1">
      <alignment wrapText="1"/>
    </xf>
    <xf numFmtId="0" fontId="73" fillId="0" borderId="12" xfId="0" applyFont="1" applyBorder="1" applyAlignment="1">
      <alignment horizontal="right"/>
    </xf>
    <xf numFmtId="0" fontId="73" fillId="0" borderId="12" xfId="0" applyFont="1" applyBorder="1"/>
    <xf numFmtId="3" fontId="73" fillId="0" borderId="12" xfId="0" applyNumberFormat="1" applyFont="1" applyBorder="1"/>
    <xf numFmtId="0" fontId="82" fillId="0" borderId="0" xfId="8" applyFont="1"/>
    <xf numFmtId="9" fontId="82" fillId="0" borderId="1" xfId="9" applyFont="1" applyBorder="1"/>
    <xf numFmtId="9" fontId="82" fillId="0" borderId="0" xfId="9" applyFont="1" applyFill="1"/>
    <xf numFmtId="0" fontId="93" fillId="0" borderId="0" xfId="0" applyFont="1"/>
    <xf numFmtId="0" fontId="82" fillId="0" borderId="0" xfId="0" applyFont="1"/>
    <xf numFmtId="0" fontId="82" fillId="29" borderId="1" xfId="0" applyFont="1" applyFill="1" applyBorder="1"/>
    <xf numFmtId="0" fontId="82" fillId="29" borderId="2" xfId="0" applyFont="1" applyFill="1" applyBorder="1" applyAlignment="1">
      <alignment horizontal="center" vertical="top"/>
    </xf>
    <xf numFmtId="0" fontId="82" fillId="29" borderId="4" xfId="0" applyFont="1" applyFill="1" applyBorder="1" applyAlignment="1">
      <alignment horizontal="center" vertical="top"/>
    </xf>
    <xf numFmtId="0" fontId="82" fillId="29" borderId="1" xfId="0" applyFont="1" applyFill="1" applyBorder="1" applyAlignment="1">
      <alignment horizontal="center" vertical="top" wrapText="1"/>
    </xf>
    <xf numFmtId="0" fontId="93" fillId="27" borderId="1" xfId="0" applyFont="1" applyFill="1" applyBorder="1"/>
    <xf numFmtId="0" fontId="82" fillId="27" borderId="2" xfId="0" applyFont="1" applyFill="1" applyBorder="1"/>
    <xf numFmtId="0" fontId="82" fillId="27" borderId="4" xfId="0" applyFont="1" applyFill="1" applyBorder="1"/>
    <xf numFmtId="0" fontId="82" fillId="27" borderId="1" xfId="0" applyFont="1" applyFill="1" applyBorder="1"/>
    <xf numFmtId="0" fontId="82" fillId="0" borderId="1" xfId="0" applyFont="1" applyBorder="1"/>
    <xf numFmtId="0" fontId="82" fillId="0" borderId="2" xfId="0" applyFont="1" applyBorder="1"/>
    <xf numFmtId="0" fontId="82" fillId="0" borderId="4" xfId="0" applyFont="1" applyBorder="1"/>
    <xf numFmtId="3" fontId="82" fillId="0" borderId="2" xfId="0" applyNumberFormat="1" applyFont="1" applyBorder="1"/>
    <xf numFmtId="3" fontId="82" fillId="0" borderId="4" xfId="0" applyNumberFormat="1" applyFont="1" applyBorder="1"/>
    <xf numFmtId="1" fontId="82" fillId="0" borderId="0" xfId="0" applyNumberFormat="1" applyFont="1"/>
    <xf numFmtId="0" fontId="82" fillId="0" borderId="1" xfId="0" applyFont="1" applyBorder="1" applyAlignment="1">
      <alignment wrapText="1"/>
    </xf>
    <xf numFmtId="0" fontId="94" fillId="0" borderId="1" xfId="0" applyFont="1" applyBorder="1"/>
    <xf numFmtId="3" fontId="94" fillId="0" borderId="2" xfId="0" applyNumberFormat="1" applyFont="1" applyBorder="1"/>
    <xf numFmtId="3" fontId="94" fillId="0" borderId="4" xfId="0" applyNumberFormat="1" applyFont="1" applyBorder="1"/>
    <xf numFmtId="0" fontId="82" fillId="27" borderId="1" xfId="0" applyFont="1" applyFill="1" applyBorder="1" applyAlignment="1">
      <alignment horizontal="center" vertical="top" wrapText="1"/>
    </xf>
    <xf numFmtId="0" fontId="82" fillId="0" borderId="0" xfId="0" applyFont="1" applyAlignment="1">
      <alignment horizontal="center" vertical="top" wrapText="1"/>
    </xf>
    <xf numFmtId="0" fontId="93" fillId="0" borderId="1" xfId="0" applyFont="1" applyBorder="1"/>
    <xf numFmtId="3" fontId="82" fillId="0" borderId="0" xfId="0" applyNumberFormat="1" applyFont="1"/>
    <xf numFmtId="0" fontId="93" fillId="28" borderId="1" xfId="0" applyFont="1" applyFill="1" applyBorder="1"/>
    <xf numFmtId="3" fontId="93" fillId="28" borderId="2" xfId="0" applyNumberFormat="1" applyFont="1" applyFill="1" applyBorder="1"/>
    <xf numFmtId="3" fontId="93" fillId="28" borderId="4" xfId="0" applyNumberFormat="1" applyFont="1" applyFill="1" applyBorder="1"/>
    <xf numFmtId="3" fontId="93" fillId="28" borderId="1" xfId="0" applyNumberFormat="1" applyFont="1" applyFill="1" applyBorder="1"/>
    <xf numFmtId="3" fontId="93" fillId="0" borderId="0" xfId="0" applyNumberFormat="1" applyFont="1"/>
    <xf numFmtId="0" fontId="82" fillId="0" borderId="1" xfId="0" applyFont="1" applyBorder="1" applyAlignment="1">
      <alignment horizontal="left" indent="1"/>
    </xf>
    <xf numFmtId="0" fontId="93" fillId="28" borderId="11" xfId="0" applyFont="1" applyFill="1" applyBorder="1"/>
    <xf numFmtId="3" fontId="93" fillId="28" borderId="11" xfId="0" applyNumberFormat="1" applyFont="1" applyFill="1" applyBorder="1"/>
    <xf numFmtId="3" fontId="93" fillId="28" borderId="13" xfId="0" applyNumberFormat="1" applyFont="1" applyFill="1" applyBorder="1"/>
    <xf numFmtId="3" fontId="93" fillId="28" borderId="12" xfId="0" applyNumberFormat="1" applyFont="1" applyFill="1" applyBorder="1"/>
    <xf numFmtId="0" fontId="93" fillId="28" borderId="14" xfId="0" applyFont="1" applyFill="1" applyBorder="1"/>
    <xf numFmtId="3" fontId="93" fillId="28" borderId="14" xfId="0" applyNumberFormat="1" applyFont="1" applyFill="1" applyBorder="1"/>
    <xf numFmtId="3" fontId="93" fillId="28" borderId="15" xfId="0" applyNumberFormat="1" applyFont="1" applyFill="1" applyBorder="1"/>
    <xf numFmtId="3" fontId="93" fillId="28" borderId="10" xfId="0" applyNumberFormat="1" applyFont="1" applyFill="1" applyBorder="1"/>
    <xf numFmtId="0" fontId="82" fillId="0" borderId="0" xfId="0" applyFont="1" applyAlignment="1">
      <alignment horizontal="left" wrapText="1" indent="1"/>
    </xf>
    <xf numFmtId="0" fontId="95" fillId="0" borderId="0" xfId="10" applyFont="1"/>
    <xf numFmtId="0" fontId="82" fillId="0" borderId="0" xfId="10" applyFont="1"/>
    <xf numFmtId="0" fontId="96" fillId="0" borderId="0" xfId="10" applyFont="1"/>
    <xf numFmtId="0" fontId="93" fillId="0" borderId="0" xfId="10" applyFont="1"/>
    <xf numFmtId="0" fontId="82" fillId="0" borderId="1" xfId="10" applyFont="1" applyBorder="1"/>
    <xf numFmtId="0" fontId="97" fillId="0" borderId="1" xfId="10" applyFont="1" applyBorder="1" applyAlignment="1">
      <alignment vertical="center" wrapText="1"/>
    </xf>
    <xf numFmtId="0" fontId="98" fillId="0" borderId="2" xfId="10" applyFont="1" applyBorder="1" applyAlignment="1">
      <alignment horizontal="left" vertical="center" wrapText="1" indent="1"/>
    </xf>
    <xf numFmtId="0" fontId="82" fillId="26" borderId="1" xfId="10" applyFont="1" applyFill="1" applyBorder="1"/>
    <xf numFmtId="0" fontId="97" fillId="0" borderId="2" xfId="10" applyFont="1" applyBorder="1" applyAlignment="1">
      <alignment vertical="center" wrapText="1"/>
    </xf>
    <xf numFmtId="0" fontId="98" fillId="0" borderId="0" xfId="10" applyFont="1" applyAlignment="1">
      <alignment horizontal="left" vertical="center" wrapText="1" indent="1"/>
    </xf>
    <xf numFmtId="0" fontId="99" fillId="0" borderId="1" xfId="10" applyFont="1" applyBorder="1" applyAlignment="1">
      <alignment vertical="center" wrapText="1"/>
    </xf>
    <xf numFmtId="0" fontId="82" fillId="0" borderId="1" xfId="10" applyFont="1" applyBorder="1" applyAlignment="1">
      <alignment horizontal="center"/>
    </xf>
    <xf numFmtId="0" fontId="97" fillId="0" borderId="1" xfId="10" applyFont="1" applyBorder="1" applyAlignment="1">
      <alignment horizontal="left" vertical="center" wrapText="1" indent="1"/>
    </xf>
    <xf numFmtId="0" fontId="93" fillId="0" borderId="1" xfId="10" applyFont="1" applyBorder="1"/>
    <xf numFmtId="49" fontId="82" fillId="26" borderId="1" xfId="10" applyNumberFormat="1" applyFont="1" applyFill="1" applyBorder="1" applyAlignment="1">
      <alignment horizontal="center"/>
    </xf>
    <xf numFmtId="0" fontId="100" fillId="0" borderId="1" xfId="10" applyFont="1" applyBorder="1" applyAlignment="1">
      <alignment wrapText="1"/>
    </xf>
    <xf numFmtId="49" fontId="82" fillId="0" borderId="1" xfId="10" applyNumberFormat="1" applyFont="1" applyBorder="1"/>
    <xf numFmtId="0" fontId="101" fillId="0" borderId="1" xfId="10" applyFont="1" applyBorder="1" applyAlignment="1">
      <alignment horizontal="left" indent="1"/>
    </xf>
    <xf numFmtId="1" fontId="82" fillId="26" borderId="1" xfId="10" applyNumberFormat="1" applyFont="1" applyFill="1" applyBorder="1"/>
    <xf numFmtId="3" fontId="82" fillId="26" borderId="1" xfId="10" applyNumberFormat="1" applyFont="1" applyFill="1" applyBorder="1"/>
    <xf numFmtId="0" fontId="101" fillId="0" borderId="0" xfId="10" applyFont="1" applyAlignment="1">
      <alignment horizontal="left" wrapText="1" indent="1"/>
    </xf>
    <xf numFmtId="0" fontId="102" fillId="0" borderId="0" xfId="10" applyFont="1" applyAlignment="1">
      <alignment wrapText="1"/>
    </xf>
    <xf numFmtId="0" fontId="93" fillId="0" borderId="1" xfId="10" applyFont="1" applyBorder="1" applyAlignment="1">
      <alignment wrapText="1"/>
    </xf>
    <xf numFmtId="0" fontId="82" fillId="0" borderId="7" xfId="10" applyFont="1" applyBorder="1" applyAlignment="1">
      <alignment horizontal="right"/>
    </xf>
    <xf numFmtId="0" fontId="82" fillId="0" borderId="1" xfId="10" applyFont="1" applyBorder="1" applyAlignment="1">
      <alignment horizontal="right" indent="1"/>
    </xf>
    <xf numFmtId="0" fontId="82" fillId="26" borderId="1" xfId="10" applyFont="1" applyFill="1" applyBorder="1" applyAlignment="1">
      <alignment horizontal="right"/>
    </xf>
    <xf numFmtId="1" fontId="84" fillId="0" borderId="1" xfId="6" applyNumberFormat="1" applyBorder="1"/>
    <xf numFmtId="9" fontId="82" fillId="26" borderId="1" xfId="1" applyFont="1" applyFill="1" applyBorder="1"/>
    <xf numFmtId="9" fontId="82" fillId="26" borderId="1" xfId="10" applyNumberFormat="1" applyFont="1" applyFill="1" applyBorder="1"/>
    <xf numFmtId="9" fontId="89" fillId="0" borderId="1" xfId="1" applyFont="1" applyBorder="1"/>
    <xf numFmtId="9" fontId="82" fillId="30" borderId="1" xfId="1" applyFont="1" applyFill="1" applyBorder="1"/>
    <xf numFmtId="9" fontId="89" fillId="30" borderId="1" xfId="1" applyFont="1" applyFill="1" applyBorder="1"/>
    <xf numFmtId="3" fontId="82" fillId="0" borderId="1" xfId="5" applyNumberFormat="1" applyFont="1" applyBorder="1" applyAlignment="1">
      <alignment horizontal="right"/>
    </xf>
    <xf numFmtId="9" fontId="89" fillId="0" borderId="1" xfId="1" applyFont="1" applyFill="1" applyBorder="1"/>
    <xf numFmtId="9" fontId="82" fillId="0" borderId="1" xfId="1" applyFont="1" applyFill="1" applyBorder="1"/>
    <xf numFmtId="174" fontId="82" fillId="0" borderId="0" xfId="5" applyNumberFormat="1" applyFont="1"/>
    <xf numFmtId="175" fontId="82" fillId="0" borderId="1" xfId="5" applyNumberFormat="1" applyFont="1" applyBorder="1"/>
    <xf numFmtId="0" fontId="89" fillId="30" borderId="0" xfId="0" applyFont="1" applyFill="1"/>
    <xf numFmtId="0" fontId="87" fillId="30" borderId="10" xfId="0" applyFont="1" applyFill="1" applyBorder="1" applyAlignment="1">
      <alignment vertical="center" wrapText="1"/>
    </xf>
    <xf numFmtId="0" fontId="89" fillId="30" borderId="10" xfId="0" applyFont="1" applyFill="1" applyBorder="1"/>
    <xf numFmtId="179" fontId="82" fillId="0" borderId="0" xfId="11" applyNumberFormat="1" applyFont="1"/>
    <xf numFmtId="1" fontId="87" fillId="0" borderId="0" xfId="6" applyNumberFormat="1" applyFont="1"/>
    <xf numFmtId="9" fontId="87" fillId="0" borderId="0" xfId="7" applyFont="1" applyBorder="1" applyAlignment="1"/>
    <xf numFmtId="3" fontId="87" fillId="0" borderId="0" xfId="6" applyNumberFormat="1" applyFont="1"/>
    <xf numFmtId="0" fontId="105" fillId="0" borderId="1" xfId="0" applyFont="1" applyBorder="1"/>
    <xf numFmtId="0" fontId="106" fillId="0" borderId="0" xfId="0" applyFont="1"/>
    <xf numFmtId="9" fontId="105" fillId="0" borderId="0" xfId="0" applyNumberFormat="1" applyFont="1"/>
    <xf numFmtId="0" fontId="105" fillId="0" borderId="0" xfId="0" applyFont="1"/>
    <xf numFmtId="173" fontId="106" fillId="0" borderId="0" xfId="0" applyNumberFormat="1" applyFont="1"/>
    <xf numFmtId="1" fontId="105" fillId="0" borderId="0" xfId="0" applyNumberFormat="1" applyFont="1"/>
    <xf numFmtId="0" fontId="105" fillId="0" borderId="1" xfId="0" applyFont="1" applyBorder="1" applyAlignment="1">
      <alignment horizontal="center" wrapText="1"/>
    </xf>
    <xf numFmtId="0" fontId="105" fillId="0" borderId="1" xfId="0" applyFont="1" applyBorder="1" applyAlignment="1">
      <alignment horizontal="left" wrapText="1"/>
    </xf>
    <xf numFmtId="173" fontId="105" fillId="0" borderId="1" xfId="0" applyNumberFormat="1" applyFont="1" applyBorder="1"/>
    <xf numFmtId="2" fontId="105" fillId="0" borderId="0" xfId="0" applyNumberFormat="1" applyFont="1"/>
    <xf numFmtId="174" fontId="105" fillId="0" borderId="1" xfId="0" applyNumberFormat="1" applyFont="1" applyBorder="1"/>
    <xf numFmtId="174" fontId="105" fillId="0" borderId="0" xfId="0" applyNumberFormat="1" applyFont="1"/>
    <xf numFmtId="173" fontId="105" fillId="0" borderId="0" xfId="0" applyNumberFormat="1" applyFont="1"/>
    <xf numFmtId="0" fontId="105" fillId="0" borderId="10" xfId="0" applyFont="1" applyBorder="1" applyAlignment="1">
      <alignment horizontal="center"/>
    </xf>
    <xf numFmtId="9" fontId="105" fillId="0" borderId="10" xfId="0" applyNumberFormat="1" applyFont="1" applyBorder="1" applyAlignment="1">
      <alignment wrapText="1"/>
    </xf>
    <xf numFmtId="3" fontId="105" fillId="0" borderId="1" xfId="0" applyNumberFormat="1" applyFont="1" applyBorder="1"/>
    <xf numFmtId="9" fontId="105" fillId="0" borderId="1" xfId="1" applyFont="1" applyBorder="1"/>
    <xf numFmtId="1" fontId="105" fillId="0" borderId="1" xfId="0" applyNumberFormat="1" applyFont="1" applyBorder="1"/>
    <xf numFmtId="0" fontId="107" fillId="28" borderId="2" xfId="0" applyFont="1" applyFill="1" applyBorder="1"/>
    <xf numFmtId="3" fontId="0" fillId="3" borderId="1" xfId="0" applyNumberFormat="1" applyFill="1" applyBorder="1" applyAlignment="1" applyProtection="1">
      <alignment horizontal="left" vertical="center" indent="1" shrinkToFit="1"/>
      <protection locked="0"/>
    </xf>
    <xf numFmtId="0" fontId="90" fillId="29" borderId="1" xfId="5" applyFont="1" applyFill="1" applyBorder="1" applyAlignment="1">
      <alignment horizontal="right" vertical="top"/>
    </xf>
    <xf numFmtId="174" fontId="108" fillId="0" borderId="1" xfId="5" applyNumberFormat="1" applyFont="1" applyBorder="1"/>
    <xf numFmtId="174" fontId="108" fillId="0" borderId="1" xfId="5" applyNumberFormat="1" applyFont="1" applyBorder="1" applyAlignment="1">
      <alignment horizontal="right"/>
    </xf>
    <xf numFmtId="0" fontId="89" fillId="0" borderId="1" xfId="5" applyFont="1" applyBorder="1" applyAlignment="1">
      <alignment horizontal="left" wrapText="1" indent="2"/>
    </xf>
    <xf numFmtId="174" fontId="82" fillId="0" borderId="2" xfId="0" applyNumberFormat="1" applyFont="1" applyBorder="1"/>
    <xf numFmtId="9" fontId="82" fillId="0" borderId="2" xfId="1" applyFont="1" applyBorder="1"/>
    <xf numFmtId="3" fontId="82" fillId="0" borderId="0" xfId="10" applyNumberFormat="1" applyFont="1"/>
    <xf numFmtId="0" fontId="105" fillId="29" borderId="1" xfId="0" applyFont="1" applyFill="1" applyBorder="1" applyAlignment="1">
      <alignment horizontal="center" vertical="top" wrapText="1"/>
    </xf>
    <xf numFmtId="0" fontId="107" fillId="11" borderId="1" xfId="0" applyFont="1" applyFill="1" applyBorder="1" applyAlignment="1">
      <alignment horizontal="left"/>
    </xf>
    <xf numFmtId="0" fontId="107" fillId="11" borderId="1" xfId="0" applyFont="1" applyFill="1" applyBorder="1"/>
    <xf numFmtId="0" fontId="107" fillId="11" borderId="1" xfId="0" applyFont="1" applyFill="1" applyBorder="1" applyAlignment="1">
      <alignment horizontal="center"/>
    </xf>
    <xf numFmtId="0" fontId="105" fillId="0" borderId="2" xfId="0" applyFont="1" applyBorder="1"/>
    <xf numFmtId="0" fontId="105" fillId="0" borderId="2" xfId="0" applyFont="1" applyBorder="1" applyAlignment="1">
      <alignment horizontal="left" indent="1"/>
    </xf>
    <xf numFmtId="0" fontId="105" fillId="0" borderId="1" xfId="0" applyFont="1" applyBorder="1" applyAlignment="1">
      <alignment horizontal="left" indent="3"/>
    </xf>
    <xf numFmtId="0" fontId="105" fillId="0" borderId="1" xfId="0" applyFont="1" applyBorder="1" applyAlignment="1">
      <alignment horizontal="left" indent="2"/>
    </xf>
    <xf numFmtId="0" fontId="107" fillId="0" borderId="0" xfId="0" applyFont="1"/>
    <xf numFmtId="3" fontId="106" fillId="0" borderId="0" xfId="0" applyNumberFormat="1" applyFont="1"/>
    <xf numFmtId="0" fontId="105" fillId="0" borderId="1" xfId="0" applyFont="1" applyBorder="1" applyAlignment="1">
      <alignment horizontal="left" indent="1"/>
    </xf>
    <xf numFmtId="0" fontId="105" fillId="0" borderId="1" xfId="0" applyFont="1" applyBorder="1" applyAlignment="1">
      <alignment horizontal="left" vertical="top" wrapText="1" indent="1"/>
    </xf>
    <xf numFmtId="0" fontId="105" fillId="0" borderId="1" xfId="0" applyFont="1" applyBorder="1" applyAlignment="1">
      <alignment horizontal="left" wrapText="1" indent="1"/>
    </xf>
    <xf numFmtId="0" fontId="105" fillId="0" borderId="1" xfId="0" applyFont="1" applyBorder="1" applyAlignment="1">
      <alignment wrapText="1"/>
    </xf>
    <xf numFmtId="0" fontId="105" fillId="0" borderId="1" xfId="0" applyFont="1" applyBorder="1" applyAlignment="1">
      <alignment horizontal="left" indent="4"/>
    </xf>
    <xf numFmtId="0" fontId="105" fillId="0" borderId="10" xfId="0" applyFont="1" applyBorder="1"/>
    <xf numFmtId="0" fontId="105" fillId="0" borderId="7" xfId="0" applyFont="1" applyBorder="1" applyAlignment="1">
      <alignment horizontal="center"/>
    </xf>
    <xf numFmtId="0" fontId="105" fillId="0" borderId="9" xfId="0" applyFont="1" applyBorder="1"/>
    <xf numFmtId="0" fontId="105" fillId="0" borderId="1" xfId="0" applyFont="1" applyBorder="1" applyAlignment="1">
      <alignment horizontal="center"/>
    </xf>
    <xf numFmtId="0" fontId="105" fillId="0" borderId="0" xfId="0" applyFont="1" applyAlignment="1">
      <alignment horizontal="center"/>
    </xf>
    <xf numFmtId="9" fontId="105" fillId="0" borderId="0" xfId="1" applyFont="1" applyBorder="1"/>
    <xf numFmtId="0" fontId="105" fillId="0" borderId="1" xfId="0" applyFont="1" applyBorder="1" applyAlignment="1">
      <alignment horizontal="center" vertical="top" wrapText="1"/>
    </xf>
    <xf numFmtId="9" fontId="105" fillId="0" borderId="1" xfId="0" applyNumberFormat="1" applyFont="1" applyBorder="1" applyAlignment="1">
      <alignment horizontal="center" vertical="top" wrapText="1"/>
    </xf>
    <xf numFmtId="0" fontId="105" fillId="0" borderId="2" xfId="0" applyFont="1" applyBorder="1" applyAlignment="1">
      <alignment horizontal="center"/>
    </xf>
    <xf numFmtId="0" fontId="105" fillId="0" borderId="14" xfId="0" applyFont="1" applyBorder="1" applyAlignment="1">
      <alignment horizontal="center"/>
    </xf>
    <xf numFmtId="1" fontId="105" fillId="0" borderId="1" xfId="1" applyNumberFormat="1" applyFont="1" applyBorder="1"/>
    <xf numFmtId="0" fontId="105" fillId="0" borderId="7" xfId="0" applyFont="1" applyBorder="1" applyAlignment="1">
      <alignment horizontal="center" vertical="top"/>
    </xf>
    <xf numFmtId="0" fontId="105" fillId="26" borderId="1" xfId="0" applyFont="1" applyFill="1" applyBorder="1"/>
    <xf numFmtId="3" fontId="105" fillId="0" borderId="0" xfId="0" applyNumberFormat="1" applyFont="1"/>
    <xf numFmtId="0" fontId="107" fillId="27" borderId="1" xfId="0" applyFont="1" applyFill="1" applyBorder="1" applyAlignment="1">
      <alignment horizontal="center" vertical="top" wrapText="1"/>
    </xf>
    <xf numFmtId="0" fontId="107" fillId="27" borderId="1" xfId="0" applyFont="1" applyFill="1" applyBorder="1" applyAlignment="1">
      <alignment vertical="top" wrapText="1"/>
    </xf>
    <xf numFmtId="0" fontId="107" fillId="0" borderId="1" xfId="0" applyFont="1" applyBorder="1" applyAlignment="1">
      <alignment horizontal="center" vertical="top" wrapText="1"/>
    </xf>
    <xf numFmtId="0" fontId="105" fillId="11" borderId="1" xfId="0" applyFont="1" applyFill="1" applyBorder="1"/>
    <xf numFmtId="3" fontId="105" fillId="11" borderId="1" xfId="0" applyNumberFormat="1" applyFont="1" applyFill="1" applyBorder="1"/>
    <xf numFmtId="9" fontId="105" fillId="0" borderId="1" xfId="0" applyNumberFormat="1" applyFont="1" applyBorder="1"/>
    <xf numFmtId="9" fontId="105" fillId="0" borderId="1" xfId="1" applyFont="1" applyFill="1" applyBorder="1"/>
    <xf numFmtId="9" fontId="105" fillId="0" borderId="2" xfId="0" applyNumberFormat="1" applyFont="1" applyBorder="1"/>
    <xf numFmtId="0" fontId="105" fillId="0" borderId="2" xfId="0" applyFont="1" applyBorder="1" applyAlignment="1">
      <alignment vertical="top" wrapText="1"/>
    </xf>
    <xf numFmtId="3" fontId="105" fillId="0" borderId="1" xfId="0" applyNumberFormat="1" applyFont="1" applyBorder="1" applyAlignment="1">
      <alignment horizontal="center" vertical="top" wrapText="1"/>
    </xf>
    <xf numFmtId="0" fontId="107" fillId="0" borderId="1" xfId="0" applyFont="1" applyBorder="1"/>
    <xf numFmtId="3" fontId="107" fillId="0" borderId="1" xfId="0" applyNumberFormat="1" applyFont="1" applyBorder="1"/>
    <xf numFmtId="0" fontId="105" fillId="27" borderId="1" xfId="0" applyFont="1" applyFill="1" applyBorder="1"/>
    <xf numFmtId="0" fontId="105" fillId="27" borderId="1" xfId="0" applyFont="1" applyFill="1" applyBorder="1" applyAlignment="1">
      <alignment horizontal="center" vertical="top" wrapText="1"/>
    </xf>
    <xf numFmtId="9" fontId="107" fillId="0" borderId="1" xfId="1" applyFont="1" applyBorder="1"/>
    <xf numFmtId="0" fontId="107" fillId="0" borderId="0" xfId="0" applyFont="1" applyAlignment="1">
      <alignment wrapText="1"/>
    </xf>
    <xf numFmtId="0" fontId="107" fillId="0" borderId="1" xfId="0" applyFont="1" applyBorder="1" applyAlignment="1">
      <alignment wrapText="1"/>
    </xf>
    <xf numFmtId="0" fontId="109" fillId="0" borderId="1" xfId="0" applyFont="1" applyBorder="1" applyAlignment="1">
      <alignment wrapText="1"/>
    </xf>
    <xf numFmtId="3" fontId="105" fillId="0" borderId="1" xfId="0" applyNumberFormat="1" applyFont="1" applyBorder="1" applyAlignment="1">
      <alignment wrapText="1"/>
    </xf>
    <xf numFmtId="0" fontId="110" fillId="0" borderId="1" xfId="0" applyFont="1" applyBorder="1" applyAlignment="1">
      <alignment horizontal="left" wrapText="1" indent="1"/>
    </xf>
    <xf numFmtId="3" fontId="105" fillId="0" borderId="1" xfId="0" applyNumberFormat="1" applyFont="1" applyBorder="1" applyAlignment="1">
      <alignment horizontal="left" wrapText="1" indent="1"/>
    </xf>
    <xf numFmtId="0" fontId="111" fillId="0" borderId="1" xfId="0" applyFont="1" applyBorder="1" applyAlignment="1">
      <alignment horizontal="left" wrapText="1" indent="3"/>
    </xf>
    <xf numFmtId="3" fontId="112" fillId="0" borderId="1" xfId="0" applyNumberFormat="1" applyFont="1" applyBorder="1" applyAlignment="1">
      <alignment wrapText="1"/>
    </xf>
    <xf numFmtId="0" fontId="112" fillId="0" borderId="1" xfId="0" applyFont="1" applyBorder="1" applyAlignment="1">
      <alignment horizontal="left" wrapText="1" indent="4"/>
    </xf>
    <xf numFmtId="3" fontId="112" fillId="0" borderId="1" xfId="0" applyNumberFormat="1" applyFont="1" applyBorder="1" applyAlignment="1">
      <alignment horizontal="left" wrapText="1" indent="3"/>
    </xf>
    <xf numFmtId="9" fontId="112" fillId="0" borderId="1" xfId="0" applyNumberFormat="1" applyFont="1" applyBorder="1" applyAlignment="1">
      <alignment horizontal="left" wrapText="1" indent="4"/>
    </xf>
    <xf numFmtId="0" fontId="113" fillId="0" borderId="1" xfId="0" applyFont="1" applyBorder="1" applyAlignment="1">
      <alignment wrapText="1"/>
    </xf>
    <xf numFmtId="0" fontId="105" fillId="0" borderId="1" xfId="0" applyFont="1" applyBorder="1" applyAlignment="1">
      <alignment horizontal="right"/>
    </xf>
    <xf numFmtId="3" fontId="105" fillId="0" borderId="1" xfId="0" applyNumberFormat="1" applyFont="1" applyBorder="1" applyAlignment="1">
      <alignment horizontal="right"/>
    </xf>
    <xf numFmtId="168" fontId="105" fillId="0" borderId="1" xfId="1" applyNumberFormat="1" applyFont="1" applyFill="1" applyBorder="1" applyAlignment="1">
      <alignment wrapText="1"/>
    </xf>
    <xf numFmtId="0" fontId="109" fillId="0" borderId="1" xfId="0" applyFont="1" applyBorder="1" applyAlignment="1">
      <alignment horizontal="left" wrapText="1" indent="1"/>
    </xf>
    <xf numFmtId="3" fontId="109" fillId="0" borderId="1" xfId="0" applyNumberFormat="1" applyFont="1" applyBorder="1" applyAlignment="1">
      <alignment wrapText="1"/>
    </xf>
    <xf numFmtId="9" fontId="105" fillId="0" borderId="1" xfId="1" applyFont="1" applyFill="1" applyBorder="1" applyAlignment="1">
      <alignment wrapText="1"/>
    </xf>
    <xf numFmtId="0" fontId="114" fillId="0" borderId="1" xfId="5" applyFont="1" applyBorder="1"/>
    <xf numFmtId="174" fontId="82" fillId="0" borderId="0" xfId="0" applyNumberFormat="1" applyFont="1"/>
    <xf numFmtId="0" fontId="46" fillId="0" borderId="1" xfId="0" applyFont="1" applyBorder="1"/>
    <xf numFmtId="0" fontId="46" fillId="0" borderId="0" xfId="0" applyFont="1"/>
    <xf numFmtId="0" fontId="84" fillId="29" borderId="0" xfId="6" applyFill="1"/>
    <xf numFmtId="0" fontId="90" fillId="29" borderId="0" xfId="5" applyFont="1" applyFill="1"/>
    <xf numFmtId="0" fontId="2" fillId="0" borderId="0" xfId="3" applyFont="1"/>
    <xf numFmtId="0" fontId="2" fillId="0" borderId="1" xfId="3" applyFont="1" applyBorder="1"/>
    <xf numFmtId="0" fontId="5" fillId="0" borderId="1" xfId="3" applyBorder="1"/>
    <xf numFmtId="3" fontId="105" fillId="25" borderId="1" xfId="0" applyNumberFormat="1" applyFont="1" applyFill="1" applyBorder="1" applyAlignment="1">
      <alignment wrapText="1"/>
    </xf>
    <xf numFmtId="0" fontId="105" fillId="25" borderId="1" xfId="0" applyFont="1" applyFill="1" applyBorder="1" applyAlignment="1">
      <alignment horizontal="left" wrapText="1" indent="1"/>
    </xf>
    <xf numFmtId="0" fontId="115" fillId="0" borderId="1" xfId="3" applyFont="1" applyBorder="1" applyAlignment="1">
      <alignment wrapText="1"/>
    </xf>
    <xf numFmtId="9" fontId="105" fillId="0" borderId="0" xfId="1" applyFont="1" applyFill="1" applyBorder="1"/>
    <xf numFmtId="9" fontId="0" fillId="26" borderId="0" xfId="0" applyNumberFormat="1" applyFill="1"/>
    <xf numFmtId="0" fontId="46" fillId="0" borderId="1" xfId="0" applyFont="1" applyBorder="1" applyAlignment="1">
      <alignment vertical="center" wrapText="1"/>
    </xf>
    <xf numFmtId="0" fontId="46" fillId="0" borderId="1" xfId="0" applyFont="1" applyBorder="1" applyAlignment="1">
      <alignment horizontal="center" vertical="top" wrapText="1"/>
    </xf>
    <xf numFmtId="0" fontId="1" fillId="0" borderId="1" xfId="3" applyFont="1" applyBorder="1"/>
    <xf numFmtId="0" fontId="0" fillId="3" borderId="1" xfId="0" applyFill="1" applyBorder="1"/>
    <xf numFmtId="181" fontId="0" fillId="0" borderId="1" xfId="0" applyNumberFormat="1" applyBorder="1" applyAlignment="1" applyProtection="1">
      <alignment horizontal="center" vertical="center" shrinkToFit="1"/>
      <protection locked="0"/>
    </xf>
    <xf numFmtId="0" fontId="93" fillId="0" borderId="0" xfId="12" applyFont="1"/>
    <xf numFmtId="0" fontId="82" fillId="0" borderId="0" xfId="12" applyFont="1"/>
    <xf numFmtId="0" fontId="0" fillId="0" borderId="1" xfId="0" applyBorder="1" applyAlignment="1">
      <alignment horizontal="center"/>
    </xf>
    <xf numFmtId="0" fontId="82" fillId="0" borderId="1" xfId="12" applyFont="1" applyBorder="1" applyAlignment="1">
      <alignment horizontal="center"/>
    </xf>
    <xf numFmtId="3" fontId="82" fillId="0" borderId="1" xfId="12" applyNumberFormat="1" applyFont="1" applyBorder="1" applyAlignment="1">
      <alignment horizontal="center"/>
    </xf>
    <xf numFmtId="9" fontId="82" fillId="0" borderId="1" xfId="1" applyFont="1" applyBorder="1" applyAlignment="1">
      <alignment horizontal="center"/>
    </xf>
    <xf numFmtId="0" fontId="46" fillId="13" borderId="1" xfId="0" applyFont="1" applyFill="1" applyBorder="1" applyAlignment="1">
      <alignment horizontal="right" vertical="center" wrapText="1" indent="1"/>
    </xf>
    <xf numFmtId="0" fontId="0" fillId="13" borderId="1" xfId="0" applyFill="1" applyBorder="1" applyAlignment="1">
      <alignment horizontal="right" vertical="center" wrapText="1" indent="1"/>
    </xf>
    <xf numFmtId="170" fontId="0" fillId="0" borderId="0" xfId="0" applyNumberFormat="1" applyAlignment="1">
      <alignment horizontal="center" vertical="center"/>
    </xf>
    <xf numFmtId="168" fontId="82" fillId="0" borderId="1" xfId="1" applyNumberFormat="1" applyFont="1" applyBorder="1" applyAlignment="1">
      <alignment horizontal="center"/>
    </xf>
    <xf numFmtId="0" fontId="0" fillId="0" borderId="0" xfId="0" applyAlignment="1">
      <alignment horizontal="center"/>
    </xf>
    <xf numFmtId="174" fontId="82" fillId="26" borderId="1" xfId="10" applyNumberFormat="1" applyFont="1" applyFill="1" applyBorder="1"/>
    <xf numFmtId="175" fontId="89" fillId="3" borderId="1" xfId="5" applyNumberFormat="1" applyFont="1" applyFill="1" applyBorder="1"/>
    <xf numFmtId="178" fontId="89" fillId="3" borderId="27" xfId="5" applyNumberFormat="1" applyFont="1" applyFill="1" applyBorder="1"/>
    <xf numFmtId="174" fontId="87" fillId="3" borderId="30" xfId="6" applyNumberFormat="1" applyFont="1" applyFill="1" applyBorder="1"/>
    <xf numFmtId="177" fontId="82" fillId="3" borderId="1" xfId="5" applyNumberFormat="1" applyFont="1" applyFill="1" applyBorder="1"/>
    <xf numFmtId="0" fontId="82" fillId="0" borderId="1" xfId="10" applyFont="1" applyBorder="1" applyAlignment="1">
      <alignment wrapText="1"/>
    </xf>
    <xf numFmtId="0" fontId="117" fillId="0" borderId="1" xfId="10" applyFont="1" applyBorder="1" applyAlignment="1">
      <alignment horizontal="left" wrapText="1" indent="1"/>
    </xf>
    <xf numFmtId="0" fontId="101" fillId="0" borderId="1" xfId="10" applyFont="1" applyBorder="1"/>
    <xf numFmtId="1" fontId="82" fillId="0" borderId="1" xfId="10" applyNumberFormat="1" applyFont="1" applyBorder="1"/>
    <xf numFmtId="0" fontId="82" fillId="0" borderId="1" xfId="0" applyFont="1" applyBorder="1" applyAlignment="1">
      <alignment horizontal="left" wrapText="1"/>
    </xf>
    <xf numFmtId="49" fontId="82" fillId="0" borderId="1" xfId="0" applyNumberFormat="1" applyFont="1" applyBorder="1" applyAlignment="1">
      <alignment horizontal="center"/>
    </xf>
    <xf numFmtId="9" fontId="82" fillId="0" borderId="1" xfId="0" applyNumberFormat="1" applyFont="1" applyBorder="1" applyAlignment="1">
      <alignment horizontal="center"/>
    </xf>
    <xf numFmtId="9" fontId="82" fillId="0" borderId="0" xfId="1" applyFont="1"/>
    <xf numFmtId="2" fontId="82" fillId="0" borderId="2" xfId="0" applyNumberFormat="1" applyFont="1" applyBorder="1"/>
    <xf numFmtId="170" fontId="74" fillId="0" borderId="1" xfId="0" applyNumberFormat="1" applyFont="1" applyBorder="1" applyAlignment="1">
      <alignment horizontal="center" vertical="center"/>
    </xf>
    <xf numFmtId="49" fontId="0" fillId="0" borderId="0" xfId="0" applyNumberFormat="1" applyAlignment="1">
      <alignment horizontal="center" vertical="center"/>
    </xf>
    <xf numFmtId="0" fontId="82" fillId="0" borderId="0" xfId="12" applyFont="1" applyAlignment="1">
      <alignment horizontal="center"/>
    </xf>
    <xf numFmtId="3" fontId="82" fillId="0" borderId="0" xfId="12" applyNumberFormat="1" applyFont="1" applyAlignment="1">
      <alignment horizontal="center"/>
    </xf>
    <xf numFmtId="9" fontId="82" fillId="0" borderId="0" xfId="1" applyFont="1" applyBorder="1" applyAlignment="1">
      <alignment horizontal="center"/>
    </xf>
    <xf numFmtId="168" fontId="82" fillId="0" borderId="0" xfId="1" applyNumberFormat="1" applyFont="1" applyBorder="1" applyAlignment="1">
      <alignment horizontal="center"/>
    </xf>
    <xf numFmtId="166" fontId="118" fillId="0" borderId="0" xfId="0" applyNumberFormat="1" applyFont="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50" fillId="0" borderId="1"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0" fillId="0" borderId="1" xfId="0" applyFont="1" applyBorder="1" applyAlignment="1">
      <alignment horizontal="center" vertical="center"/>
    </xf>
    <xf numFmtId="172" fontId="0" fillId="0" borderId="1" xfId="0" applyNumberFormat="1" applyBorder="1" applyAlignment="1">
      <alignment horizontal="left" vertical="center" wrapText="1" indent="1"/>
    </xf>
    <xf numFmtId="172" fontId="0" fillId="0" borderId="3" xfId="0" applyNumberFormat="1" applyBorder="1" applyAlignment="1">
      <alignment horizontal="left" vertical="center" wrapText="1" indent="1"/>
    </xf>
    <xf numFmtId="0" fontId="10"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54" fillId="0" borderId="1" xfId="2" applyFill="1" applyBorder="1" applyAlignment="1">
      <alignment horizontal="left" vertical="center" wrapText="1" indent="1"/>
    </xf>
    <xf numFmtId="3" fontId="0" fillId="0" borderId="1" xfId="0" applyNumberFormat="1" applyBorder="1" applyAlignment="1">
      <alignment horizontal="left" vertical="center" wrapText="1" indent="1"/>
    </xf>
    <xf numFmtId="0" fontId="46" fillId="0" borderId="2" xfId="0" applyFont="1" applyBorder="1" applyAlignment="1">
      <alignment horizontal="left" vertical="center" wrapText="1" indent="1"/>
    </xf>
    <xf numFmtId="0" fontId="46" fillId="0" borderId="4" xfId="0" applyFont="1" applyBorder="1" applyAlignment="1">
      <alignment horizontal="left" vertical="center" wrapText="1" indent="1"/>
    </xf>
    <xf numFmtId="0" fontId="6" fillId="10" borderId="1" xfId="0" applyFont="1" applyFill="1" applyBorder="1" applyAlignment="1">
      <alignment horizontal="left" vertical="center" indent="1"/>
    </xf>
    <xf numFmtId="0" fontId="36" fillId="0" borderId="10" xfId="0" applyFont="1" applyBorder="1" applyAlignment="1">
      <alignment horizontal="left" vertical="center" indent="1"/>
    </xf>
    <xf numFmtId="0" fontId="34" fillId="0" borderId="1" xfId="0" applyFont="1" applyBorder="1" applyAlignment="1">
      <alignment horizontal="left" vertical="center" wrapText="1" indent="1"/>
    </xf>
    <xf numFmtId="0" fontId="34" fillId="0" borderId="2" xfId="0" applyFont="1" applyBorder="1" applyAlignment="1">
      <alignment horizontal="left" vertical="center" indent="1"/>
    </xf>
    <xf numFmtId="0" fontId="34" fillId="0" borderId="4" xfId="0" applyFont="1" applyBorder="1" applyAlignment="1">
      <alignment horizontal="left" vertical="center" indent="1"/>
    </xf>
    <xf numFmtId="0" fontId="34" fillId="0" borderId="2" xfId="0" applyFont="1" applyBorder="1" applyAlignment="1">
      <alignment horizontal="left" vertical="center" wrapText="1" indent="1"/>
    </xf>
    <xf numFmtId="0" fontId="34"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0" fillId="0" borderId="2" xfId="0" applyFont="1" applyBorder="1" applyAlignment="1">
      <alignment horizontal="left" vertical="center" wrapText="1" indent="1"/>
    </xf>
    <xf numFmtId="0" fontId="70" fillId="0" borderId="4" xfId="0" applyFont="1" applyBorder="1" applyAlignment="1">
      <alignment horizontal="left" vertical="center" wrapText="1" indent="1"/>
    </xf>
    <xf numFmtId="0" fontId="0" fillId="9" borderId="1" xfId="0" applyFill="1" applyBorder="1" applyAlignment="1">
      <alignment horizontal="center" vertical="center"/>
    </xf>
    <xf numFmtId="0" fontId="9" fillId="10" borderId="2" xfId="0" applyFont="1" applyFill="1" applyBorder="1" applyAlignment="1">
      <alignment horizontal="center" vertical="center"/>
    </xf>
    <xf numFmtId="0" fontId="9" fillId="10" borderId="4" xfId="0" applyFont="1" applyFill="1" applyBorder="1" applyAlignment="1">
      <alignment horizontal="center" vertical="center"/>
    </xf>
    <xf numFmtId="0" fontId="49" fillId="0" borderId="1" xfId="0" applyFont="1" applyBorder="1" applyAlignment="1">
      <alignment horizontal="right" vertical="center" wrapText="1" indent="1"/>
    </xf>
    <xf numFmtId="0" fontId="14" fillId="0" borderId="1" xfId="0" applyFont="1" applyBorder="1" applyAlignment="1" applyProtection="1">
      <alignment horizontal="left" vertical="center" wrapText="1" inden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indent="1"/>
      <protection locked="0"/>
    </xf>
    <xf numFmtId="0" fontId="6" fillId="4" borderId="2" xfId="0" applyFont="1" applyFill="1" applyBorder="1" applyAlignment="1" applyProtection="1">
      <alignment horizontal="left" vertical="center" indent="1"/>
      <protection locked="0"/>
    </xf>
    <xf numFmtId="0" fontId="6" fillId="4" borderId="4" xfId="0" applyFont="1" applyFill="1" applyBorder="1" applyAlignment="1" applyProtection="1">
      <alignment horizontal="left" vertical="center" indent="1"/>
      <protection locked="0"/>
    </xf>
    <xf numFmtId="0" fontId="14" fillId="0" borderId="7" xfId="0" applyFont="1" applyBorder="1" applyAlignment="1" applyProtection="1">
      <alignment horizontal="left" vertical="center" wrapText="1" indent="1"/>
      <protection locked="0"/>
    </xf>
    <xf numFmtId="0" fontId="14" fillId="0" borderId="8" xfId="0" applyFont="1" applyBorder="1" applyAlignment="1" applyProtection="1">
      <alignment horizontal="left" vertical="center" wrapText="1" indent="1"/>
      <protection locked="0"/>
    </xf>
    <xf numFmtId="0" fontId="14" fillId="0" borderId="9" xfId="0" applyFont="1" applyBorder="1" applyAlignment="1" applyProtection="1">
      <alignment horizontal="left" vertical="center" wrapText="1" indent="1"/>
      <protection locked="0"/>
    </xf>
    <xf numFmtId="0" fontId="9" fillId="4" borderId="2" xfId="0" applyFont="1" applyFill="1" applyBorder="1" applyAlignment="1" applyProtection="1">
      <alignment horizontal="center" vertical="center" shrinkToFit="1"/>
      <protection locked="0"/>
    </xf>
    <xf numFmtId="0" fontId="9" fillId="4" borderId="4" xfId="0" applyFont="1" applyFill="1" applyBorder="1" applyAlignment="1" applyProtection="1">
      <alignment horizontal="center" vertical="center" shrinkToFit="1"/>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23" fillId="0" borderId="1" xfId="0" applyFont="1" applyBorder="1" applyAlignment="1" applyProtection="1">
      <alignment horizontal="left" vertical="center" wrapText="1" indent="1"/>
      <protection locked="0"/>
    </xf>
    <xf numFmtId="0" fontId="6" fillId="6" borderId="2" xfId="0" applyFont="1" applyFill="1" applyBorder="1" applyAlignment="1" applyProtection="1">
      <alignment horizontal="left" vertical="center" indent="1"/>
      <protection locked="0"/>
    </xf>
    <xf numFmtId="0" fontId="6" fillId="6" borderId="4" xfId="0" applyFont="1" applyFill="1" applyBorder="1" applyAlignment="1" applyProtection="1">
      <alignment horizontal="left" vertical="center" indent="1"/>
      <protection locked="0"/>
    </xf>
    <xf numFmtId="0" fontId="23"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9" fillId="6" borderId="2" xfId="0" applyFont="1" applyFill="1" applyBorder="1" applyAlignment="1" applyProtection="1">
      <alignment horizontal="center" vertical="center" shrinkToFit="1"/>
      <protection locked="0"/>
    </xf>
    <xf numFmtId="0" fontId="9" fillId="6" borderId="4" xfId="0" applyFont="1" applyFill="1" applyBorder="1" applyAlignment="1" applyProtection="1">
      <alignment horizontal="center" vertical="center" shrinkToFit="1"/>
      <protection locked="0"/>
    </xf>
    <xf numFmtId="0" fontId="19" fillId="0" borderId="1" xfId="0" applyFont="1" applyBorder="1" applyAlignment="1" applyProtection="1">
      <alignment horizontal="left" vertical="center" indent="1"/>
      <protection locked="0"/>
    </xf>
    <xf numFmtId="0" fontId="23" fillId="0" borderId="7" xfId="0" applyFont="1" applyBorder="1" applyAlignment="1" applyProtection="1">
      <alignment horizontal="left" vertical="center" wrapText="1" indent="1"/>
      <protection locked="0"/>
    </xf>
    <xf numFmtId="0" fontId="23" fillId="0" borderId="8" xfId="0" applyFont="1" applyBorder="1" applyAlignment="1" applyProtection="1">
      <alignment horizontal="left" vertical="center" wrapText="1" indent="1"/>
      <protection locked="0"/>
    </xf>
    <xf numFmtId="0" fontId="23" fillId="0" borderId="9" xfId="0" applyFont="1" applyBorder="1" applyAlignment="1" applyProtection="1">
      <alignment horizontal="left" vertical="center" wrapText="1" indent="1"/>
      <protection locked="0"/>
    </xf>
    <xf numFmtId="0" fontId="9" fillId="6" borderId="2"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9" fillId="0" borderId="1" xfId="0" applyFont="1" applyBorder="1" applyAlignment="1">
      <alignment horizontal="left" vertical="center" wrapText="1" indent="1"/>
    </xf>
    <xf numFmtId="0" fontId="6" fillId="7" borderId="2" xfId="0" applyFont="1" applyFill="1" applyBorder="1" applyAlignment="1">
      <alignment horizontal="left" vertical="center" indent="1"/>
    </xf>
    <xf numFmtId="0" fontId="6" fillId="7" borderId="4" xfId="0" applyFont="1" applyFill="1" applyBorder="1" applyAlignment="1">
      <alignment horizontal="left" vertical="center" indent="1"/>
    </xf>
    <xf numFmtId="0" fontId="29" fillId="0" borderId="2" xfId="0" applyFont="1" applyBorder="1" applyAlignment="1">
      <alignment horizontal="left" vertical="center" wrapText="1" indent="1"/>
    </xf>
    <xf numFmtId="0" fontId="26" fillId="0" borderId="4" xfId="0" applyFont="1" applyBorder="1" applyAlignment="1">
      <alignment horizontal="left" vertical="center" wrapText="1" indent="1"/>
    </xf>
    <xf numFmtId="0" fontId="9" fillId="7" borderId="2" xfId="0" applyFont="1" applyFill="1" applyBorder="1" applyAlignment="1">
      <alignment horizontal="center" vertical="center" shrinkToFit="1"/>
    </xf>
    <xf numFmtId="0" fontId="9" fillId="7" borderId="4" xfId="0" applyFont="1" applyFill="1" applyBorder="1" applyAlignment="1">
      <alignment horizontal="center" vertical="center" shrinkToFit="1"/>
    </xf>
    <xf numFmtId="0" fontId="26" fillId="0" borderId="1" xfId="0" applyFont="1" applyBorder="1" applyAlignment="1">
      <alignment horizontal="left" vertical="center" indent="1"/>
    </xf>
    <xf numFmtId="0" fontId="29" fillId="0" borderId="7" xfId="0" applyFont="1" applyBorder="1" applyAlignment="1">
      <alignment horizontal="left" vertical="center" wrapText="1" indent="1"/>
    </xf>
    <xf numFmtId="0" fontId="29" fillId="0" borderId="8" xfId="0" applyFont="1" applyBorder="1" applyAlignment="1">
      <alignment horizontal="left" vertical="center" wrapText="1" indent="1"/>
    </xf>
    <xf numFmtId="0" fontId="29" fillId="0" borderId="9" xfId="0" applyFont="1" applyBorder="1" applyAlignment="1">
      <alignment horizontal="left" vertical="center" wrapText="1" indent="1"/>
    </xf>
    <xf numFmtId="0" fontId="9" fillId="7" borderId="2" xfId="0" applyFont="1" applyFill="1" applyBorder="1" applyAlignment="1">
      <alignment horizontal="center" vertical="center"/>
    </xf>
    <xf numFmtId="0" fontId="9"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0" fillId="22" borderId="2" xfId="0" applyNumberFormat="1" applyFont="1" applyFill="1" applyBorder="1" applyAlignment="1">
      <alignment horizontal="center" vertical="center"/>
    </xf>
    <xf numFmtId="167" fontId="10" fillId="22" borderId="3" xfId="0" applyNumberFormat="1" applyFont="1" applyFill="1" applyBorder="1" applyAlignment="1">
      <alignment horizontal="center" vertical="center"/>
    </xf>
    <xf numFmtId="167" fontId="10" fillId="22" borderId="4" xfId="0" applyNumberFormat="1" applyFont="1" applyFill="1" applyBorder="1" applyAlignment="1">
      <alignment horizontal="center" vertical="center"/>
    </xf>
    <xf numFmtId="0" fontId="66" fillId="22" borderId="2" xfId="0" applyFont="1" applyFill="1" applyBorder="1" applyAlignment="1">
      <alignment horizontal="center" vertical="center"/>
    </xf>
    <xf numFmtId="0" fontId="66" fillId="22" borderId="3" xfId="0" applyFont="1" applyFill="1" applyBorder="1" applyAlignment="1">
      <alignment horizontal="center" vertical="center"/>
    </xf>
    <xf numFmtId="0" fontId="66"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82" fillId="0" borderId="1" xfId="0" applyFont="1" applyBorder="1" applyAlignment="1">
      <alignment horizontal="center" wrapText="1"/>
    </xf>
    <xf numFmtId="0" fontId="82" fillId="0" borderId="1" xfId="12" applyFont="1" applyBorder="1" applyAlignment="1">
      <alignment horizontal="left"/>
    </xf>
    <xf numFmtId="0" fontId="116" fillId="0" borderId="1" xfId="12" applyFont="1" applyBorder="1" applyAlignment="1">
      <alignment horizontal="center"/>
    </xf>
    <xf numFmtId="0" fontId="0" fillId="0" borderId="0" xfId="0" applyAlignment="1">
      <alignment horizontal="left" vertical="center" wrapText="1" indent="1"/>
    </xf>
    <xf numFmtId="0" fontId="105" fillId="0" borderId="7" xfId="0" applyFont="1" applyBorder="1" applyAlignment="1">
      <alignment horizontal="center" vertical="top" wrapText="1"/>
    </xf>
    <xf numFmtId="0" fontId="105" fillId="0" borderId="9" xfId="0" applyFont="1" applyBorder="1" applyAlignment="1">
      <alignment horizontal="center" vertical="top" wrapText="1"/>
    </xf>
    <xf numFmtId="0" fontId="105" fillId="0" borderId="11" xfId="0" applyFont="1" applyBorder="1" applyAlignment="1">
      <alignment horizontal="center" vertical="top" wrapText="1"/>
    </xf>
    <xf numFmtId="0" fontId="105" fillId="0" borderId="14" xfId="0" applyFont="1" applyBorder="1" applyAlignment="1">
      <alignment horizontal="center" vertical="top" wrapText="1"/>
    </xf>
    <xf numFmtId="0" fontId="105" fillId="0" borderId="1" xfId="0" applyFont="1" applyBorder="1" applyAlignment="1">
      <alignment horizontal="center" vertical="top" wrapText="1"/>
    </xf>
    <xf numFmtId="9" fontId="105" fillId="0" borderId="7" xfId="0" applyNumberFormat="1" applyFont="1" applyBorder="1" applyAlignment="1">
      <alignment horizontal="center" vertical="top" wrapText="1"/>
    </xf>
    <xf numFmtId="9" fontId="105" fillId="0" borderId="9" xfId="0" applyNumberFormat="1" applyFont="1" applyBorder="1" applyAlignment="1">
      <alignment horizontal="center" vertical="top" wrapText="1"/>
    </xf>
    <xf numFmtId="0" fontId="83" fillId="0" borderId="0" xfId="5" applyFont="1" applyAlignment="1">
      <alignment horizontal="center"/>
    </xf>
    <xf numFmtId="0" fontId="87" fillId="29" borderId="46" xfId="5" applyFont="1" applyFill="1" applyBorder="1" applyAlignment="1">
      <alignment horizontal="center"/>
    </xf>
    <xf numFmtId="0" fontId="87" fillId="29" borderId="21" xfId="5" applyFont="1" applyFill="1" applyBorder="1" applyAlignment="1">
      <alignment horizontal="center"/>
    </xf>
    <xf numFmtId="0" fontId="87" fillId="3" borderId="25" xfId="6" applyFont="1" applyFill="1" applyBorder="1" applyAlignment="1">
      <alignment horizontal="left" wrapText="1" indent="2"/>
    </xf>
    <xf numFmtId="0" fontId="87" fillId="3" borderId="26" xfId="6" applyFont="1" applyFill="1" applyBorder="1" applyAlignment="1">
      <alignment horizontal="left" wrapText="1" indent="2"/>
    </xf>
    <xf numFmtId="0" fontId="87" fillId="3" borderId="29" xfId="6" applyFont="1" applyFill="1" applyBorder="1" applyAlignment="1">
      <alignment horizontal="left" wrapText="1" indent="2"/>
    </xf>
    <xf numFmtId="0" fontId="87" fillId="3" borderId="4" xfId="6" applyFont="1" applyFill="1" applyBorder="1" applyAlignment="1">
      <alignment horizontal="left" wrapText="1" indent="2"/>
    </xf>
    <xf numFmtId="0" fontId="87" fillId="3" borderId="32" xfId="6" applyFont="1" applyFill="1" applyBorder="1" applyAlignment="1">
      <alignment horizontal="left" wrapText="1" indent="2"/>
    </xf>
    <xf numFmtId="0" fontId="87" fillId="3" borderId="33" xfId="6" applyFont="1" applyFill="1" applyBorder="1" applyAlignment="1">
      <alignment horizontal="left" wrapText="1" indent="2"/>
    </xf>
    <xf numFmtId="0" fontId="83" fillId="0" borderId="24" xfId="5" applyFont="1" applyBorder="1" applyAlignment="1">
      <alignment horizontal="center"/>
    </xf>
    <xf numFmtId="0" fontId="83" fillId="0" borderId="21" xfId="5" applyFont="1" applyBorder="1" applyAlignment="1">
      <alignment horizontal="center"/>
    </xf>
    <xf numFmtId="0" fontId="85" fillId="0" borderId="1" xfId="6" applyFont="1" applyBorder="1" applyAlignment="1">
      <alignment horizontal="center"/>
    </xf>
    <xf numFmtId="0" fontId="89" fillId="29" borderId="2" xfId="5" applyFont="1" applyFill="1" applyBorder="1" applyAlignment="1">
      <alignment horizontal="center" wrapText="1"/>
    </xf>
    <xf numFmtId="0" fontId="89" fillId="29" borderId="4" xfId="5" applyFont="1" applyFill="1" applyBorder="1" applyAlignment="1">
      <alignment horizontal="center" wrapText="1"/>
    </xf>
    <xf numFmtId="0" fontId="87" fillId="29" borderId="18" xfId="5" applyFont="1" applyFill="1" applyBorder="1" applyAlignment="1">
      <alignment horizontal="center" vertical="top"/>
    </xf>
    <xf numFmtId="0" fontId="87" fillId="29" borderId="19" xfId="5" applyFont="1" applyFill="1" applyBorder="1" applyAlignment="1">
      <alignment horizontal="center" vertical="top"/>
    </xf>
    <xf numFmtId="0" fontId="87" fillId="29" borderId="22" xfId="5" applyFont="1" applyFill="1" applyBorder="1" applyAlignment="1">
      <alignment horizontal="center" vertical="top"/>
    </xf>
    <xf numFmtId="0" fontId="87" fillId="29" borderId="23" xfId="5" applyFont="1" applyFill="1" applyBorder="1" applyAlignment="1">
      <alignment horizontal="center" vertical="top"/>
    </xf>
    <xf numFmtId="0" fontId="87" fillId="29" borderId="20" xfId="6" applyFont="1" applyFill="1" applyBorder="1" applyAlignment="1">
      <alignment horizontal="center" vertical="top" wrapText="1"/>
    </xf>
    <xf numFmtId="0" fontId="87" fillId="29" borderId="21" xfId="6" applyFont="1" applyFill="1" applyBorder="1" applyAlignment="1">
      <alignment horizontal="center" vertical="top" wrapText="1"/>
    </xf>
    <xf numFmtId="0" fontId="87" fillId="30" borderId="0" xfId="6" applyFont="1" applyFill="1" applyAlignment="1">
      <alignment horizontal="center"/>
    </xf>
    <xf numFmtId="0" fontId="82" fillId="0" borderId="1" xfId="10" applyFont="1" applyBorder="1" applyAlignment="1">
      <alignment horizontal="center"/>
    </xf>
    <xf numFmtId="0" fontId="82" fillId="0" borderId="1" xfId="0" applyFont="1" applyBorder="1" applyAlignment="1">
      <alignment horizontal="center"/>
    </xf>
    <xf numFmtId="0" fontId="82" fillId="3" borderId="1" xfId="0" applyFont="1" applyFill="1" applyBorder="1" applyAlignment="1">
      <alignment horizontal="center" vertical="center"/>
    </xf>
    <xf numFmtId="0" fontId="89" fillId="0" borderId="1" xfId="0" applyFont="1" applyBorder="1" applyAlignment="1">
      <alignment horizontal="center" wrapText="1"/>
    </xf>
    <xf numFmtId="0" fontId="87" fillId="0" borderId="2" xfId="0" applyFont="1" applyBorder="1" applyAlignment="1">
      <alignment horizontal="center" vertical="center" wrapText="1"/>
    </xf>
    <xf numFmtId="0" fontId="87" fillId="0" borderId="4" xfId="0" applyFont="1" applyBorder="1" applyAlignment="1">
      <alignment horizontal="center" vertical="center" wrapText="1"/>
    </xf>
    <xf numFmtId="0" fontId="87" fillId="0" borderId="1" xfId="0" applyFont="1" applyBorder="1" applyAlignment="1">
      <alignment horizontal="left" vertical="center" wrapText="1"/>
    </xf>
    <xf numFmtId="1" fontId="87" fillId="0" borderId="2" xfId="0" applyNumberFormat="1" applyFont="1" applyBorder="1" applyAlignment="1">
      <alignment horizontal="center" vertical="center" wrapText="1"/>
    </xf>
    <xf numFmtId="1" fontId="87" fillId="0" borderId="4" xfId="0" applyNumberFormat="1" applyFont="1" applyBorder="1" applyAlignment="1">
      <alignment horizontal="center" vertical="center" wrapText="1"/>
    </xf>
    <xf numFmtId="3" fontId="87" fillId="0" borderId="2" xfId="0" applyNumberFormat="1" applyFont="1" applyBorder="1" applyAlignment="1">
      <alignment horizontal="center" vertical="center" wrapText="1"/>
    </xf>
    <xf numFmtId="3" fontId="87" fillId="0" borderId="4" xfId="0" applyNumberFormat="1" applyFont="1" applyBorder="1" applyAlignment="1">
      <alignment horizontal="center" vertical="center" wrapText="1"/>
    </xf>
    <xf numFmtId="0" fontId="87" fillId="0" borderId="1" xfId="0" applyFont="1" applyBorder="1" applyAlignment="1">
      <alignment horizontal="left" vertical="center" wrapText="1" indent="2"/>
    </xf>
    <xf numFmtId="2" fontId="87" fillId="0" borderId="2" xfId="0" applyNumberFormat="1" applyFont="1" applyBorder="1" applyAlignment="1">
      <alignment horizontal="center" vertical="center" wrapText="1"/>
    </xf>
    <xf numFmtId="2" fontId="87" fillId="0" borderId="4" xfId="0" applyNumberFormat="1" applyFont="1" applyBorder="1" applyAlignment="1">
      <alignment horizontal="center" vertical="center" wrapText="1"/>
    </xf>
    <xf numFmtId="9" fontId="98" fillId="0" borderId="1" xfId="1" applyFont="1" applyBorder="1" applyAlignment="1">
      <alignment horizontal="center" vertical="center" wrapText="1"/>
    </xf>
    <xf numFmtId="0" fontId="98" fillId="0" borderId="1" xfId="0" applyFont="1" applyBorder="1" applyAlignment="1">
      <alignment horizontal="left" vertical="center" wrapText="1"/>
    </xf>
    <xf numFmtId="3" fontId="98" fillId="0" borderId="1" xfId="0" applyNumberFormat="1" applyFont="1" applyBorder="1" applyAlignment="1">
      <alignment horizontal="center" vertical="center" wrapText="1"/>
    </xf>
  </cellXfs>
  <cellStyles count="13">
    <cellStyle name="Hüperlink" xfId="2" builtinId="8"/>
    <cellStyle name="Normaallaad" xfId="0" builtinId="0"/>
    <cellStyle name="Protsent" xfId="1" builtinId="5"/>
    <cellStyle name="Обычный 2" xfId="3" xr:uid="{00000000-0005-0000-0000-000003000000}"/>
    <cellStyle name="Обычный 2 2" xfId="6" xr:uid="{00000000-0005-0000-0000-000004000000}"/>
    <cellStyle name="Обычный 3" xfId="8" xr:uid="{00000000-0005-0000-0000-000005000000}"/>
    <cellStyle name="Обычный 4" xfId="10" xr:uid="{00000000-0005-0000-0000-000006000000}"/>
    <cellStyle name="Обычный 6 2" xfId="5" xr:uid="{00000000-0005-0000-0000-000007000000}"/>
    <cellStyle name="Обычный 6 2 2" xfId="11" xr:uid="{00000000-0005-0000-0000-000008000000}"/>
    <cellStyle name="Обычный 7" xfId="12" xr:uid="{31E1A3C3-4EB7-4974-BC60-E2DDBC986CFB}"/>
    <cellStyle name="Процентный 2" xfId="4" xr:uid="{00000000-0005-0000-0000-000009000000}"/>
    <cellStyle name="Процентный 2 2" xfId="7" xr:uid="{00000000-0005-0000-0000-00000A000000}"/>
    <cellStyle name="Процентный 3" xfId="9" xr:uid="{00000000-0005-0000-0000-00000B000000}"/>
  </cellStyles>
  <dxfs count="5">
    <dxf>
      <font>
        <color theme="0"/>
      </font>
    </dxf>
    <dxf>
      <font>
        <color theme="0"/>
      </font>
    </dxf>
    <dxf>
      <font>
        <color theme="0"/>
      </font>
    </dxf>
    <dxf>
      <font>
        <color theme="0"/>
      </font>
    </dxf>
    <dxf>
      <font>
        <color rgb="FF9C0006"/>
      </font>
      <fill>
        <patternFill>
          <bgColor rgb="FFFFC7CE"/>
        </patternFill>
      </fill>
    </dxf>
  </dxfs>
  <tableStyles count="0" defaultTableStyle="TableStyleMedium2" defaultPivotStyle="PivotStyleLight16"/>
  <colors>
    <mruColors>
      <color rgb="FFCCFFCC"/>
      <color rgb="FFFFFF99"/>
      <color rgb="FF0000FF"/>
      <color rgb="FFA6C0F4"/>
      <color rgb="FF000099"/>
      <color rgb="FF008000"/>
      <color rgb="FFCC6600"/>
      <color rgb="FFFFFF66"/>
      <color rgb="FFA0F692"/>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1055;&#1088;&#1086;&#1080;&#1079;&#1074;&#1086;&#1076;&#1089;&#1090;&#1074;&#1077;&#1085;&#1085;&#1099;&#1081;%20&#1080;&#1085;&#1082;&#1091;&#1073;&#1072;&#1090;&#1086;&#1088;\TTA%20RU\Puhastuluanalu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sheetData>
      <sheetData sheetId="1">
        <row r="3">
          <cell r="F3">
            <v>2016</v>
          </cell>
        </row>
      </sheetData>
      <sheetData sheetId="2">
        <row r="1">
          <cell r="F1" t="str">
            <v>Projekti</v>
          </cell>
        </row>
      </sheetData>
      <sheetData sheetId="3">
        <row r="18">
          <cell r="I18">
            <v>108892.4776</v>
          </cell>
        </row>
      </sheetData>
      <sheetData sheetId="4">
        <row r="2">
          <cell r="H2">
            <v>1</v>
          </cell>
          <cell r="I2">
            <v>2</v>
          </cell>
          <cell r="J2">
            <v>3</v>
          </cell>
          <cell r="K2">
            <v>4</v>
          </cell>
          <cell r="L2">
            <v>5</v>
          </cell>
          <cell r="M2">
            <v>6</v>
          </cell>
          <cell r="N2">
            <v>7</v>
          </cell>
          <cell r="O2">
            <v>8</v>
          </cell>
          <cell r="P2">
            <v>9</v>
          </cell>
          <cell r="Q2">
            <v>10</v>
          </cell>
          <cell r="R2">
            <v>11</v>
          </cell>
          <cell r="S2">
            <v>12</v>
          </cell>
          <cell r="T2">
            <v>13</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cell r="H16">
            <v>0</v>
          </cell>
          <cell r="I16">
            <v>0</v>
          </cell>
          <cell r="J16">
            <v>0</v>
          </cell>
          <cell r="K16">
            <v>0</v>
          </cell>
          <cell r="L16">
            <v>0</v>
          </cell>
          <cell r="M16">
            <v>0</v>
          </cell>
          <cell r="N16">
            <v>0</v>
          </cell>
          <cell r="O16">
            <v>0</v>
          </cell>
          <cell r="P16">
            <v>0</v>
          </cell>
          <cell r="Q16">
            <v>0</v>
          </cell>
          <cell r="R16">
            <v>0</v>
          </cell>
        </row>
        <row r="17">
          <cell r="H17">
            <v>0</v>
          </cell>
          <cell r="I17">
            <v>0</v>
          </cell>
          <cell r="J17">
            <v>0</v>
          </cell>
          <cell r="K17">
            <v>0</v>
          </cell>
          <cell r="L17">
            <v>0</v>
          </cell>
          <cell r="M17">
            <v>0</v>
          </cell>
          <cell r="N17">
            <v>0</v>
          </cell>
          <cell r="O17">
            <v>0</v>
          </cell>
          <cell r="P17">
            <v>0</v>
          </cell>
          <cell r="Q17">
            <v>0</v>
          </cell>
          <cell r="R17">
            <v>0</v>
          </cell>
        </row>
      </sheetData>
      <sheetData sheetId="21"/>
      <sheetData sheetId="22"/>
      <sheetData sheetId="23"/>
      <sheetData sheetId="24">
        <row r="11">
          <cell r="A11" t="str">
            <v>Näitaja</v>
          </cell>
        </row>
      </sheetData>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leht"/>
      <sheetName val="1. Projekti elluviimise kulud"/>
      <sheetName val="Допущения"/>
      <sheetName val="Eeldused_muugi"/>
      <sheetName val="2. Tulud-kulud projektiga"/>
      <sheetName val="B_Косвенный эффект"/>
      <sheetName val="Инвестиции"/>
      <sheetName val="Прибыль"/>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sheetData sheetId="1">
        <row r="45">
          <cell r="G45">
            <v>0</v>
          </cell>
        </row>
      </sheetData>
      <sheetData sheetId="2"/>
      <sheetData sheetId="3">
        <row r="3">
          <cell r="D3">
            <v>2023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8">
          <cell r="C18">
            <v>1</v>
          </cell>
        </row>
      </sheetData>
      <sheetData sheetId="22"/>
      <sheetData sheetId="23"/>
      <sheetData sheetId="24"/>
      <sheetData sheetId="25">
        <row r="3">
          <cell r="B3">
            <v>0.33</v>
          </cell>
        </row>
      </sheetData>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workbookViewId="0">
      <selection activeCell="F4" sqref="F4"/>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173</v>
      </c>
    </row>
    <row r="2" spans="1:2" ht="9" customHeight="1" x14ac:dyDescent="0.35"/>
    <row r="3" spans="1:2" ht="43.5" customHeight="1" x14ac:dyDescent="0.35">
      <c r="A3" s="754" t="s">
        <v>172</v>
      </c>
      <c r="B3" s="362" t="s">
        <v>244</v>
      </c>
    </row>
    <row r="4" spans="1:2" ht="54" customHeight="1" x14ac:dyDescent="0.35">
      <c r="A4" s="755"/>
      <c r="B4" s="283" t="s">
        <v>243</v>
      </c>
    </row>
    <row r="5" spans="1:2" ht="69" customHeight="1" x14ac:dyDescent="0.35">
      <c r="A5" s="756"/>
      <c r="B5" s="135" t="s">
        <v>245</v>
      </c>
    </row>
    <row r="6" spans="1:2" ht="14.25" customHeight="1" x14ac:dyDescent="0.35"/>
    <row r="7" spans="1:2" ht="31.5" customHeight="1" x14ac:dyDescent="0.35">
      <c r="A7" s="278" t="s">
        <v>142</v>
      </c>
      <c r="B7" s="120" t="s">
        <v>97</v>
      </c>
    </row>
    <row r="8" spans="1:2" ht="26.25" customHeight="1" x14ac:dyDescent="0.35">
      <c r="A8" s="83" t="s">
        <v>143</v>
      </c>
      <c r="B8" s="120" t="s">
        <v>98</v>
      </c>
    </row>
    <row r="10" spans="1:2" ht="37.5" customHeight="1" x14ac:dyDescent="0.35">
      <c r="A10" s="759" t="s">
        <v>149</v>
      </c>
      <c r="B10" s="124" t="s">
        <v>148</v>
      </c>
    </row>
    <row r="11" spans="1:2" ht="36" customHeight="1" x14ac:dyDescent="0.35">
      <c r="A11" s="760"/>
      <c r="B11" s="124" t="s">
        <v>246</v>
      </c>
    </row>
    <row r="12" spans="1:2" ht="54" customHeight="1" x14ac:dyDescent="0.35">
      <c r="A12" s="760"/>
      <c r="B12" s="272" t="s">
        <v>138</v>
      </c>
    </row>
    <row r="13" spans="1:2" ht="11.25" customHeight="1" x14ac:dyDescent="0.35">
      <c r="A13" s="760"/>
      <c r="B13" s="274"/>
    </row>
    <row r="14" spans="1:2" ht="26.25" customHeight="1" x14ac:dyDescent="0.35">
      <c r="A14" s="760"/>
      <c r="B14" s="273" t="s">
        <v>99</v>
      </c>
    </row>
    <row r="15" spans="1:2" ht="33.75" customHeight="1" x14ac:dyDescent="0.35">
      <c r="A15" s="760"/>
      <c r="B15" s="272" t="s">
        <v>150</v>
      </c>
    </row>
    <row r="16" spans="1:2" ht="18" customHeight="1" x14ac:dyDescent="0.35">
      <c r="A16" s="760"/>
      <c r="B16" s="272" t="s">
        <v>100</v>
      </c>
    </row>
    <row r="17" spans="1:4" ht="21.75" customHeight="1" x14ac:dyDescent="0.35">
      <c r="A17" s="760"/>
      <c r="B17" s="272" t="s">
        <v>151</v>
      </c>
      <c r="D17" s="277"/>
    </row>
    <row r="18" spans="1:4" ht="15" customHeight="1" x14ac:dyDescent="0.35">
      <c r="A18" s="760"/>
      <c r="B18" s="274"/>
      <c r="D18" s="277"/>
    </row>
    <row r="19" spans="1:4" ht="21.75" customHeight="1" x14ac:dyDescent="0.35">
      <c r="A19" s="760"/>
      <c r="B19" s="273" t="s">
        <v>101</v>
      </c>
      <c r="D19" s="277"/>
    </row>
    <row r="20" spans="1:4" ht="34.5" customHeight="1" x14ac:dyDescent="0.35">
      <c r="A20" s="760"/>
      <c r="B20" s="272" t="s">
        <v>152</v>
      </c>
    </row>
    <row r="21" spans="1:4" ht="39.75" customHeight="1" x14ac:dyDescent="0.35">
      <c r="A21" s="760"/>
      <c r="B21" s="272" t="s">
        <v>201</v>
      </c>
    </row>
    <row r="22" spans="1:4" ht="29.25" customHeight="1" x14ac:dyDescent="0.35">
      <c r="A22" s="760"/>
      <c r="B22" s="272" t="s">
        <v>153</v>
      </c>
    </row>
    <row r="24" spans="1:4" ht="3" customHeight="1" x14ac:dyDescent="0.35"/>
    <row r="25" spans="1:4" ht="49.5" customHeight="1" x14ac:dyDescent="0.35">
      <c r="A25" s="761" t="s">
        <v>102</v>
      </c>
      <c r="B25" s="122" t="s">
        <v>154</v>
      </c>
    </row>
    <row r="26" spans="1:4" ht="16.5" customHeight="1" x14ac:dyDescent="0.35">
      <c r="A26" s="761"/>
      <c r="B26" s="275"/>
    </row>
    <row r="27" spans="1:4" ht="36.75" customHeight="1" x14ac:dyDescent="0.35">
      <c r="A27" s="761"/>
      <c r="B27" s="122" t="s">
        <v>105</v>
      </c>
    </row>
    <row r="28" spans="1:4" ht="21" customHeight="1" x14ac:dyDescent="0.35">
      <c r="A28" s="761"/>
      <c r="B28" s="122" t="s">
        <v>144</v>
      </c>
    </row>
    <row r="29" spans="1:4" ht="21.75" customHeight="1" x14ac:dyDescent="0.35">
      <c r="A29" s="761"/>
      <c r="B29" s="122" t="s">
        <v>103</v>
      </c>
    </row>
    <row r="30" spans="1:4" ht="19.5" customHeight="1" x14ac:dyDescent="0.35">
      <c r="A30" s="761"/>
      <c r="B30" s="122" t="s">
        <v>155</v>
      </c>
    </row>
    <row r="31" spans="1:4" x14ac:dyDescent="0.35">
      <c r="B31" s="121"/>
    </row>
    <row r="32" spans="1:4" ht="36" customHeight="1" x14ac:dyDescent="0.35">
      <c r="A32" s="758" t="s">
        <v>104</v>
      </c>
      <c r="B32" s="123" t="s">
        <v>140</v>
      </c>
    </row>
    <row r="33" spans="1:2" ht="21" customHeight="1" x14ac:dyDescent="0.35">
      <c r="A33" s="758"/>
      <c r="B33" s="123" t="s">
        <v>122</v>
      </c>
    </row>
    <row r="34" spans="1:2" ht="15" customHeight="1" x14ac:dyDescent="0.35">
      <c r="A34" s="316"/>
    </row>
    <row r="35" spans="1:2" ht="50.25" customHeight="1" x14ac:dyDescent="0.35">
      <c r="A35" s="317" t="s">
        <v>202</v>
      </c>
      <c r="B35" s="318" t="s">
        <v>203</v>
      </c>
    </row>
    <row r="37" spans="1:2" ht="33.75" customHeight="1" x14ac:dyDescent="0.35">
      <c r="A37" s="757" t="s">
        <v>133</v>
      </c>
      <c r="B37" s="271" t="s">
        <v>134</v>
      </c>
    </row>
    <row r="38" spans="1:2" ht="54" customHeight="1" x14ac:dyDescent="0.35">
      <c r="A38" s="757"/>
      <c r="B38" s="271" t="s">
        <v>135</v>
      </c>
    </row>
    <row r="40" spans="1:2" ht="52.5" customHeight="1" x14ac:dyDescent="0.35">
      <c r="A40" s="297" t="s">
        <v>204</v>
      </c>
      <c r="B40" s="319" t="s">
        <v>205</v>
      </c>
    </row>
    <row r="42" spans="1:2" ht="48.75" customHeight="1" x14ac:dyDescent="0.35">
      <c r="A42" s="751" t="s">
        <v>228</v>
      </c>
      <c r="B42" s="323" t="s">
        <v>242</v>
      </c>
    </row>
    <row r="43" spans="1:2" ht="145" x14ac:dyDescent="0.35">
      <c r="A43" s="752"/>
      <c r="B43" s="323" t="s">
        <v>229</v>
      </c>
    </row>
    <row r="44" spans="1:2" ht="51" customHeight="1" x14ac:dyDescent="0.35">
      <c r="A44" s="753"/>
      <c r="B44" s="323" t="s">
        <v>230</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E2F6"/>
  </sheetPr>
  <dimension ref="A1:BM17"/>
  <sheetViews>
    <sheetView workbookViewId="0">
      <selection activeCell="A4" sqref="A4"/>
    </sheetView>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4" t="s">
        <v>231</v>
      </c>
      <c r="E1" s="325" t="s">
        <v>232</v>
      </c>
    </row>
    <row r="2" spans="1:65" ht="8.25" customHeight="1" x14ac:dyDescent="0.35"/>
    <row r="3" spans="1:65" ht="22.5" customHeight="1" x14ac:dyDescent="0.35">
      <c r="Q3" s="326" t="s">
        <v>233</v>
      </c>
      <c r="R3" s="327">
        <f>'1. Projekti elluviimise kulud'!O21</f>
        <v>11</v>
      </c>
      <c r="S3" s="1" t="s">
        <v>80</v>
      </c>
    </row>
    <row r="4" spans="1:65" ht="20.25" customHeight="1" x14ac:dyDescent="0.35">
      <c r="C4" s="836" t="s">
        <v>234</v>
      </c>
      <c r="D4" s="836"/>
      <c r="E4" s="836"/>
      <c r="F4" s="836"/>
      <c r="G4" s="836"/>
      <c r="H4" s="836"/>
      <c r="I4" s="836"/>
      <c r="J4" s="836"/>
      <c r="K4" s="836"/>
      <c r="L4" s="836"/>
      <c r="M4" s="836"/>
      <c r="N4" s="836"/>
      <c r="O4" s="836"/>
      <c r="P4" s="836"/>
      <c r="Q4" s="836"/>
      <c r="R4" s="837" t="s">
        <v>235</v>
      </c>
      <c r="S4" s="837"/>
      <c r="T4" s="837"/>
      <c r="U4" s="837"/>
      <c r="V4" s="837"/>
      <c r="W4" s="837"/>
      <c r="X4" s="837"/>
      <c r="Y4" s="837"/>
      <c r="Z4" s="837"/>
      <c r="AA4" s="837"/>
      <c r="AB4" s="837"/>
      <c r="AC4" s="837"/>
      <c r="AD4" s="837"/>
      <c r="AE4" s="837"/>
      <c r="AF4" s="837"/>
      <c r="AG4" s="837"/>
      <c r="AH4" s="837"/>
      <c r="AI4" s="837"/>
      <c r="AJ4" s="837"/>
      <c r="AK4" s="837"/>
      <c r="AL4" s="837"/>
      <c r="AM4" s="837"/>
      <c r="AN4" s="837"/>
      <c r="AO4" s="837"/>
      <c r="AP4" s="837"/>
      <c r="AQ4" s="837"/>
      <c r="AR4" s="837"/>
      <c r="AS4" s="837"/>
      <c r="AT4" s="837"/>
      <c r="AU4" s="837"/>
      <c r="AV4" s="837"/>
      <c r="AW4" s="837"/>
      <c r="AX4" s="837"/>
      <c r="AY4" s="837"/>
      <c r="AZ4" s="837"/>
      <c r="BA4" s="837"/>
      <c r="BB4" s="837"/>
      <c r="BC4" s="837"/>
      <c r="BD4" s="837"/>
      <c r="BE4" s="837"/>
      <c r="BF4" s="837"/>
    </row>
    <row r="5" spans="1:65" ht="12" customHeight="1" x14ac:dyDescent="0.35">
      <c r="C5" s="328"/>
      <c r="D5" s="328"/>
      <c r="E5" s="328"/>
      <c r="F5" s="328"/>
      <c r="G5" s="328"/>
      <c r="H5" s="328"/>
      <c r="I5" s="328"/>
      <c r="J5" s="328"/>
      <c r="K5" s="328"/>
      <c r="L5" s="328"/>
      <c r="M5" s="328"/>
      <c r="N5" s="328"/>
      <c r="O5" s="328"/>
      <c r="P5" s="328"/>
      <c r="Q5" s="328"/>
      <c r="R5" s="329">
        <v>1</v>
      </c>
      <c r="S5" s="329">
        <v>2</v>
      </c>
      <c r="T5" s="329">
        <v>3</v>
      </c>
      <c r="U5" s="329">
        <v>4</v>
      </c>
      <c r="V5" s="329">
        <v>5</v>
      </c>
      <c r="W5" s="329">
        <v>6</v>
      </c>
      <c r="X5" s="329">
        <v>7</v>
      </c>
      <c r="Y5" s="329">
        <v>8</v>
      </c>
      <c r="Z5" s="329">
        <v>9</v>
      </c>
      <c r="AA5" s="329">
        <v>10</v>
      </c>
      <c r="AB5" s="329">
        <v>11</v>
      </c>
      <c r="AC5" s="329">
        <v>12</v>
      </c>
      <c r="AD5" s="329">
        <v>13</v>
      </c>
      <c r="AE5" s="329">
        <v>14</v>
      </c>
      <c r="AF5" s="329">
        <v>15</v>
      </c>
      <c r="AG5" s="329">
        <v>16</v>
      </c>
      <c r="AH5" s="329">
        <v>17</v>
      </c>
      <c r="AI5" s="329">
        <v>18</v>
      </c>
      <c r="AJ5" s="329">
        <v>19</v>
      </c>
      <c r="AK5" s="329">
        <v>20</v>
      </c>
      <c r="AL5" s="329">
        <v>21</v>
      </c>
      <c r="AM5" s="329">
        <v>22</v>
      </c>
      <c r="AN5" s="329">
        <v>23</v>
      </c>
      <c r="AO5" s="329">
        <v>24</v>
      </c>
      <c r="AP5" s="329">
        <v>25</v>
      </c>
      <c r="AQ5" s="329">
        <v>26</v>
      </c>
      <c r="AR5" s="329">
        <v>27</v>
      </c>
      <c r="AS5" s="329">
        <v>28</v>
      </c>
      <c r="AT5" s="329">
        <v>29</v>
      </c>
      <c r="AU5" s="329">
        <v>30</v>
      </c>
      <c r="AV5" s="329">
        <v>31</v>
      </c>
      <c r="AW5" s="329">
        <v>32</v>
      </c>
      <c r="AX5" s="329">
        <v>33</v>
      </c>
      <c r="AY5" s="329">
        <v>34</v>
      </c>
      <c r="AZ5" s="329">
        <v>35</v>
      </c>
      <c r="BA5" s="329">
        <v>36</v>
      </c>
      <c r="BB5" s="329">
        <v>37</v>
      </c>
      <c r="BC5" s="329">
        <v>38</v>
      </c>
      <c r="BD5" s="329">
        <v>39</v>
      </c>
      <c r="BE5" s="329">
        <v>40</v>
      </c>
      <c r="BF5" s="329">
        <v>41</v>
      </c>
    </row>
    <row r="6" spans="1:65" s="334" customFormat="1" ht="23.25" customHeight="1" x14ac:dyDescent="0.35">
      <c r="A6" s="330"/>
      <c r="B6" s="331"/>
      <c r="C6" s="332">
        <f>'2. Tulud-kulud projektiga'!D3</f>
        <v>2024</v>
      </c>
      <c r="D6" s="332">
        <f>C6+1</f>
        <v>2025</v>
      </c>
      <c r="E6" s="332">
        <f t="shared" ref="E6:BF6" si="0">D6+1</f>
        <v>2026</v>
      </c>
      <c r="F6" s="332">
        <f t="shared" si="0"/>
        <v>2027</v>
      </c>
      <c r="G6" s="332">
        <f t="shared" si="0"/>
        <v>2028</v>
      </c>
      <c r="H6" s="332">
        <f t="shared" si="0"/>
        <v>2029</v>
      </c>
      <c r="I6" s="332">
        <f t="shared" si="0"/>
        <v>2030</v>
      </c>
      <c r="J6" s="332">
        <f t="shared" si="0"/>
        <v>2031</v>
      </c>
      <c r="K6" s="332">
        <f t="shared" si="0"/>
        <v>2032</v>
      </c>
      <c r="L6" s="332">
        <f t="shared" si="0"/>
        <v>2033</v>
      </c>
      <c r="M6" s="332">
        <f t="shared" si="0"/>
        <v>2034</v>
      </c>
      <c r="N6" s="332">
        <f t="shared" si="0"/>
        <v>2035</v>
      </c>
      <c r="O6" s="332">
        <f t="shared" si="0"/>
        <v>2036</v>
      </c>
      <c r="P6" s="332">
        <f t="shared" si="0"/>
        <v>2037</v>
      </c>
      <c r="Q6" s="332">
        <f t="shared" si="0"/>
        <v>2038</v>
      </c>
      <c r="R6" s="333">
        <f t="shared" si="0"/>
        <v>2039</v>
      </c>
      <c r="S6" s="333">
        <f t="shared" si="0"/>
        <v>2040</v>
      </c>
      <c r="T6" s="333">
        <f t="shared" si="0"/>
        <v>2041</v>
      </c>
      <c r="U6" s="333">
        <f t="shared" si="0"/>
        <v>2042</v>
      </c>
      <c r="V6" s="333">
        <f t="shared" si="0"/>
        <v>2043</v>
      </c>
      <c r="W6" s="333">
        <f t="shared" si="0"/>
        <v>2044</v>
      </c>
      <c r="X6" s="333">
        <f t="shared" si="0"/>
        <v>2045</v>
      </c>
      <c r="Y6" s="333">
        <f t="shared" si="0"/>
        <v>2046</v>
      </c>
      <c r="Z6" s="333">
        <f t="shared" si="0"/>
        <v>2047</v>
      </c>
      <c r="AA6" s="333">
        <f t="shared" si="0"/>
        <v>2048</v>
      </c>
      <c r="AB6" s="333">
        <f t="shared" si="0"/>
        <v>2049</v>
      </c>
      <c r="AC6" s="333">
        <f t="shared" si="0"/>
        <v>2050</v>
      </c>
      <c r="AD6" s="333">
        <f t="shared" si="0"/>
        <v>2051</v>
      </c>
      <c r="AE6" s="333">
        <f t="shared" si="0"/>
        <v>2052</v>
      </c>
      <c r="AF6" s="333">
        <f t="shared" si="0"/>
        <v>2053</v>
      </c>
      <c r="AG6" s="333">
        <f t="shared" si="0"/>
        <v>2054</v>
      </c>
      <c r="AH6" s="333">
        <f t="shared" si="0"/>
        <v>2055</v>
      </c>
      <c r="AI6" s="333">
        <f t="shared" si="0"/>
        <v>2056</v>
      </c>
      <c r="AJ6" s="333">
        <f t="shared" si="0"/>
        <v>2057</v>
      </c>
      <c r="AK6" s="333">
        <f t="shared" si="0"/>
        <v>2058</v>
      </c>
      <c r="AL6" s="333">
        <f t="shared" si="0"/>
        <v>2059</v>
      </c>
      <c r="AM6" s="333">
        <f t="shared" si="0"/>
        <v>2060</v>
      </c>
      <c r="AN6" s="333">
        <f t="shared" si="0"/>
        <v>2061</v>
      </c>
      <c r="AO6" s="333">
        <f t="shared" si="0"/>
        <v>2062</v>
      </c>
      <c r="AP6" s="333">
        <f t="shared" si="0"/>
        <v>2063</v>
      </c>
      <c r="AQ6" s="333">
        <f t="shared" si="0"/>
        <v>2064</v>
      </c>
      <c r="AR6" s="333">
        <f t="shared" si="0"/>
        <v>2065</v>
      </c>
      <c r="AS6" s="333">
        <f t="shared" si="0"/>
        <v>2066</v>
      </c>
      <c r="AT6" s="333">
        <f t="shared" si="0"/>
        <v>2067</v>
      </c>
      <c r="AU6" s="333">
        <f t="shared" si="0"/>
        <v>2068</v>
      </c>
      <c r="AV6" s="333">
        <f t="shared" si="0"/>
        <v>2069</v>
      </c>
      <c r="AW6" s="333">
        <f t="shared" si="0"/>
        <v>2070</v>
      </c>
      <c r="AX6" s="333">
        <f t="shared" si="0"/>
        <v>2071</v>
      </c>
      <c r="AY6" s="333">
        <f t="shared" si="0"/>
        <v>2072</v>
      </c>
      <c r="AZ6" s="333">
        <f t="shared" si="0"/>
        <v>2073</v>
      </c>
      <c r="BA6" s="333">
        <f t="shared" si="0"/>
        <v>2074</v>
      </c>
      <c r="BB6" s="333">
        <f t="shared" si="0"/>
        <v>2075</v>
      </c>
      <c r="BC6" s="333">
        <f t="shared" si="0"/>
        <v>2076</v>
      </c>
      <c r="BD6" s="333">
        <f t="shared" si="0"/>
        <v>2077</v>
      </c>
      <c r="BE6" s="333">
        <f t="shared" si="0"/>
        <v>2078</v>
      </c>
      <c r="BF6" s="333">
        <f t="shared" si="0"/>
        <v>2079</v>
      </c>
    </row>
    <row r="7" spans="1:65" ht="4.5" customHeight="1" x14ac:dyDescent="0.35">
      <c r="A7" s="238"/>
      <c r="B7" s="246"/>
      <c r="C7" s="74"/>
      <c r="D7" s="74"/>
      <c r="E7" s="74"/>
      <c r="F7" s="74"/>
      <c r="G7" s="74"/>
      <c r="H7" s="74"/>
      <c r="I7" s="74"/>
      <c r="J7" s="74"/>
      <c r="K7" s="74"/>
      <c r="L7" s="74"/>
      <c r="M7" s="74"/>
      <c r="N7" s="74"/>
      <c r="O7" s="74"/>
      <c r="P7" s="134"/>
      <c r="Q7" s="134"/>
      <c r="R7" s="335"/>
      <c r="S7" s="335"/>
      <c r="T7" s="335"/>
      <c r="U7" s="335"/>
      <c r="V7" s="335"/>
      <c r="W7" s="335"/>
      <c r="X7" s="335"/>
      <c r="Y7" s="335"/>
      <c r="Z7" s="335"/>
      <c r="AA7" s="335"/>
      <c r="AB7" s="335"/>
      <c r="AC7" s="335"/>
      <c r="AD7" s="335"/>
      <c r="AE7" s="335"/>
      <c r="AF7" s="335"/>
      <c r="AG7" s="335"/>
      <c r="AH7" s="335"/>
      <c r="AI7" s="335"/>
      <c r="AJ7" s="336"/>
      <c r="AK7" s="336"/>
      <c r="AL7" s="336"/>
      <c r="AM7" s="336"/>
      <c r="AN7" s="336"/>
      <c r="AO7" s="336"/>
      <c r="AP7" s="336"/>
      <c r="AQ7" s="336"/>
      <c r="AR7" s="336"/>
      <c r="AS7" s="336"/>
      <c r="AT7" s="336"/>
      <c r="AU7" s="336"/>
      <c r="AV7" s="336"/>
      <c r="AW7" s="336"/>
      <c r="AX7" s="336"/>
      <c r="AY7" s="336"/>
      <c r="AZ7" s="336"/>
      <c r="BA7" s="336"/>
      <c r="BB7" s="336"/>
      <c r="BC7" s="336"/>
      <c r="BD7" s="336"/>
      <c r="BE7" s="336"/>
      <c r="BF7" s="336"/>
    </row>
    <row r="8" spans="1:65" ht="36.75" customHeight="1" x14ac:dyDescent="0.35">
      <c r="A8" s="337" t="s">
        <v>241</v>
      </c>
      <c r="B8" s="338" t="s">
        <v>3</v>
      </c>
      <c r="C8" s="838">
        <f>'5. Abikõlblik kulu'!D11-'5. Abikõlblik kulu'!D12</f>
        <v>-105081.24695650348</v>
      </c>
      <c r="D8" s="839"/>
      <c r="E8" s="839"/>
      <c r="F8" s="839"/>
      <c r="G8" s="839"/>
      <c r="H8" s="839"/>
      <c r="I8" s="839"/>
      <c r="J8" s="839"/>
      <c r="K8" s="839"/>
      <c r="L8" s="839"/>
      <c r="M8" s="839"/>
      <c r="N8" s="839"/>
      <c r="O8" s="839"/>
      <c r="P8" s="839"/>
      <c r="Q8" s="840"/>
      <c r="R8" s="335"/>
      <c r="S8" s="335"/>
      <c r="T8" s="335"/>
      <c r="U8" s="335"/>
      <c r="V8" s="335"/>
      <c r="W8" s="335"/>
      <c r="X8" s="335"/>
      <c r="Y8" s="335"/>
      <c r="Z8" s="335"/>
      <c r="AA8" s="335"/>
      <c r="AB8" s="335"/>
      <c r="AC8" s="335"/>
      <c r="AD8" s="335"/>
      <c r="AE8" s="335"/>
      <c r="AF8" s="335"/>
      <c r="AG8" s="335"/>
      <c r="AH8" s="335"/>
      <c r="AI8" s="335"/>
      <c r="AJ8" s="336"/>
      <c r="AK8" s="336"/>
      <c r="AL8" s="336"/>
      <c r="AM8" s="336"/>
      <c r="AN8" s="336"/>
      <c r="AO8" s="336"/>
      <c r="AP8" s="336"/>
      <c r="AQ8" s="336"/>
      <c r="AR8" s="336"/>
      <c r="AS8" s="336"/>
      <c r="AT8" s="336"/>
      <c r="AU8" s="336"/>
      <c r="AV8" s="336"/>
      <c r="AW8" s="336"/>
      <c r="AX8" s="336"/>
      <c r="AY8" s="336"/>
      <c r="AZ8" s="336"/>
      <c r="BA8" s="336"/>
      <c r="BB8" s="336"/>
      <c r="BC8" s="336"/>
      <c r="BD8" s="336"/>
      <c r="BE8" s="336"/>
      <c r="BF8" s="336"/>
    </row>
    <row r="9" spans="1:65" ht="24.75" customHeight="1" x14ac:dyDescent="0.35">
      <c r="A9" s="339" t="s">
        <v>236</v>
      </c>
      <c r="B9" s="338" t="s">
        <v>3</v>
      </c>
      <c r="C9" s="841" t="str">
        <f>IF(AND((C8&gt;0),(R3&gt;0)),"Projekti varale on vaja arvutada jääkväärtus","Jääkväärtust ei ole vaja arvutada")</f>
        <v>Jääkväärtust ei ole vaja arvutada</v>
      </c>
      <c r="D9" s="842"/>
      <c r="E9" s="842"/>
      <c r="F9" s="842"/>
      <c r="G9" s="842"/>
      <c r="H9" s="842"/>
      <c r="I9" s="842"/>
      <c r="J9" s="842"/>
      <c r="K9" s="842"/>
      <c r="L9" s="842"/>
      <c r="M9" s="842"/>
      <c r="N9" s="842"/>
      <c r="O9" s="842"/>
      <c r="P9" s="842"/>
      <c r="Q9" s="843"/>
      <c r="R9" s="335"/>
      <c r="S9" s="335"/>
      <c r="T9" s="335"/>
      <c r="U9" s="335"/>
      <c r="V9" s="335"/>
      <c r="W9" s="335"/>
      <c r="X9" s="335"/>
      <c r="Y9" s="335"/>
      <c r="Z9" s="335"/>
      <c r="AA9" s="335"/>
      <c r="AB9" s="335"/>
      <c r="AC9" s="335"/>
      <c r="AD9" s="335"/>
      <c r="AE9" s="335"/>
      <c r="AF9" s="335"/>
      <c r="AG9" s="335"/>
      <c r="AH9" s="335"/>
      <c r="AI9" s="335"/>
      <c r="AJ9" s="336"/>
      <c r="AK9" s="336"/>
      <c r="AL9" s="336"/>
      <c r="AM9" s="336"/>
      <c r="AN9" s="336"/>
      <c r="AO9" s="336"/>
      <c r="AP9" s="336"/>
      <c r="AQ9" s="336"/>
      <c r="AR9" s="336"/>
      <c r="AS9" s="336"/>
      <c r="AT9" s="336"/>
      <c r="AU9" s="336"/>
      <c r="AV9" s="336"/>
      <c r="AW9" s="336"/>
      <c r="AX9" s="336"/>
      <c r="AY9" s="336"/>
      <c r="AZ9" s="336"/>
      <c r="BA9" s="336"/>
      <c r="BB9" s="336"/>
      <c r="BC9" s="336"/>
      <c r="BD9" s="336"/>
      <c r="BE9" s="336"/>
      <c r="BF9" s="336"/>
    </row>
    <row r="10" spans="1:65" ht="4.5" customHeight="1" x14ac:dyDescent="0.35">
      <c r="A10" s="238"/>
      <c r="B10" s="246"/>
      <c r="C10" s="74"/>
      <c r="D10" s="74"/>
      <c r="E10" s="74"/>
      <c r="F10" s="74"/>
      <c r="G10" s="74"/>
      <c r="H10" s="74"/>
      <c r="I10" s="74"/>
      <c r="J10" s="74"/>
      <c r="K10" s="74"/>
      <c r="L10" s="74"/>
      <c r="M10" s="74"/>
      <c r="N10" s="74"/>
      <c r="O10" s="74"/>
      <c r="P10" s="74"/>
      <c r="Q10" s="74"/>
      <c r="R10" s="335"/>
      <c r="S10" s="335"/>
      <c r="T10" s="335"/>
      <c r="U10" s="335"/>
      <c r="V10" s="335"/>
      <c r="W10" s="335"/>
      <c r="X10" s="335"/>
      <c r="Y10" s="335"/>
      <c r="Z10" s="335"/>
      <c r="AA10" s="335"/>
      <c r="AB10" s="335"/>
      <c r="AC10" s="335"/>
      <c r="AD10" s="335"/>
      <c r="AE10" s="335"/>
      <c r="AF10" s="335"/>
      <c r="AG10" s="335"/>
      <c r="AH10" s="335"/>
      <c r="AI10" s="335"/>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row>
    <row r="11" spans="1:65" s="244" customFormat="1" ht="39.75" customHeight="1" x14ac:dyDescent="0.35">
      <c r="A11" s="340" t="s">
        <v>237</v>
      </c>
      <c r="B11" s="338" t="s">
        <v>3</v>
      </c>
      <c r="C11" s="308"/>
      <c r="D11" s="308"/>
      <c r="E11" s="308"/>
      <c r="F11" s="308"/>
      <c r="G11" s="308"/>
      <c r="H11" s="308"/>
      <c r="I11" s="308"/>
      <c r="J11" s="308"/>
      <c r="K11" s="308"/>
      <c r="L11" s="308"/>
      <c r="M11" s="308"/>
      <c r="N11" s="308"/>
      <c r="O11" s="308"/>
      <c r="P11" s="308"/>
      <c r="Q11" s="341">
        <f>'4. Lisanduvad tulud-kulud'!R121</f>
        <v>-13820.598602019949</v>
      </c>
      <c r="R11" s="342"/>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4"/>
      <c r="BH11" s="344"/>
      <c r="BI11" s="344"/>
      <c r="BJ11" s="344"/>
      <c r="BK11" s="344"/>
      <c r="BL11" s="344"/>
      <c r="BM11" s="345"/>
    </row>
    <row r="12" spans="1:65" ht="60.75" customHeight="1" x14ac:dyDescent="0.35">
      <c r="A12" s="340" t="s">
        <v>238</v>
      </c>
      <c r="B12" s="338" t="s">
        <v>3</v>
      </c>
      <c r="C12" s="346"/>
      <c r="D12" s="346"/>
      <c r="E12" s="346"/>
      <c r="F12" s="346"/>
      <c r="G12" s="346"/>
      <c r="H12" s="346"/>
      <c r="I12" s="346"/>
      <c r="J12" s="346"/>
      <c r="K12" s="346"/>
      <c r="L12" s="346"/>
      <c r="M12" s="346"/>
      <c r="N12" s="346"/>
      <c r="O12" s="346"/>
      <c r="P12" s="346"/>
      <c r="Q12" s="346"/>
      <c r="R12" s="347">
        <f>IF(Q11&gt;0,Q11,0)</f>
        <v>0</v>
      </c>
      <c r="S12" s="347">
        <f>R12</f>
        <v>0</v>
      </c>
      <c r="T12" s="347">
        <f>S12</f>
        <v>0</v>
      </c>
      <c r="U12" s="347">
        <f t="shared" ref="U12:AB12" si="1">T12</f>
        <v>0</v>
      </c>
      <c r="V12" s="347">
        <f t="shared" si="1"/>
        <v>0</v>
      </c>
      <c r="W12" s="347">
        <f t="shared" si="1"/>
        <v>0</v>
      </c>
      <c r="X12" s="347">
        <f t="shared" si="1"/>
        <v>0</v>
      </c>
      <c r="Y12" s="347">
        <f t="shared" si="1"/>
        <v>0</v>
      </c>
      <c r="Z12" s="347">
        <f t="shared" si="1"/>
        <v>0</v>
      </c>
      <c r="AA12" s="347">
        <f t="shared" si="1"/>
        <v>0</v>
      </c>
      <c r="AB12" s="347">
        <f t="shared" si="1"/>
        <v>0</v>
      </c>
      <c r="AC12" s="347"/>
      <c r="AD12" s="347"/>
      <c r="AE12" s="347"/>
      <c r="AF12" s="347"/>
      <c r="AG12" s="347"/>
      <c r="AH12" s="347"/>
      <c r="AI12" s="347"/>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9"/>
      <c r="BH12" s="349"/>
      <c r="BI12" s="349"/>
      <c r="BJ12" s="349"/>
      <c r="BK12" s="349"/>
      <c r="BL12" s="349"/>
      <c r="BM12" s="350"/>
    </row>
    <row r="13" spans="1:65" ht="30.75" customHeight="1" x14ac:dyDescent="0.35">
      <c r="A13" s="340" t="s">
        <v>85</v>
      </c>
      <c r="B13" s="338" t="s">
        <v>3</v>
      </c>
      <c r="C13" s="346"/>
      <c r="D13" s="346"/>
      <c r="E13" s="346"/>
      <c r="F13" s="346"/>
      <c r="G13" s="346"/>
      <c r="H13" s="346"/>
      <c r="I13" s="346"/>
      <c r="J13" s="346"/>
      <c r="K13" s="346"/>
      <c r="L13" s="346"/>
      <c r="M13" s="346"/>
      <c r="N13" s="346"/>
      <c r="O13" s="346"/>
      <c r="P13" s="346"/>
      <c r="Q13" s="341">
        <f>NPV(C16,R12:BF12)</f>
        <v>0</v>
      </c>
      <c r="R13" s="351"/>
      <c r="S13" s="351"/>
      <c r="T13" s="351"/>
      <c r="U13" s="351"/>
      <c r="V13" s="351"/>
      <c r="W13" s="351"/>
      <c r="X13" s="351"/>
      <c r="Y13" s="351"/>
      <c r="Z13" s="351"/>
      <c r="AA13" s="351"/>
      <c r="AB13" s="351"/>
      <c r="AC13" s="351"/>
      <c r="AD13" s="351"/>
      <c r="AE13" s="351"/>
      <c r="AF13" s="351"/>
      <c r="AG13" s="351"/>
      <c r="AH13" s="351"/>
      <c r="AI13" s="351"/>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49"/>
      <c r="BH13" s="349"/>
      <c r="BI13" s="349"/>
      <c r="BJ13" s="349"/>
      <c r="BK13" s="349"/>
      <c r="BL13" s="349"/>
      <c r="BM13" s="350"/>
    </row>
    <row r="14" spans="1:65" ht="40.5" customHeight="1" x14ac:dyDescent="0.35">
      <c r="A14" s="340" t="s">
        <v>239</v>
      </c>
      <c r="B14" s="338" t="s">
        <v>3</v>
      </c>
      <c r="C14" s="346">
        <v>0</v>
      </c>
      <c r="D14" s="346">
        <v>0</v>
      </c>
      <c r="E14" s="346">
        <v>0</v>
      </c>
      <c r="F14" s="346">
        <v>0</v>
      </c>
      <c r="G14" s="346">
        <v>0</v>
      </c>
      <c r="H14" s="346">
        <v>0</v>
      </c>
      <c r="I14" s="346">
        <v>0</v>
      </c>
      <c r="J14" s="346">
        <v>0</v>
      </c>
      <c r="K14" s="346">
        <v>0</v>
      </c>
      <c r="L14" s="346">
        <v>0</v>
      </c>
      <c r="M14" s="346">
        <v>0</v>
      </c>
      <c r="N14" s="346">
        <v>0</v>
      </c>
      <c r="O14" s="346">
        <v>0</v>
      </c>
      <c r="P14" s="346">
        <v>0</v>
      </c>
      <c r="Q14" s="341">
        <f>IF(Q13&gt;0,Q13,0)</f>
        <v>0</v>
      </c>
      <c r="R14" s="353"/>
      <c r="S14" s="351"/>
      <c r="T14" s="351"/>
      <c r="U14" s="351"/>
      <c r="V14" s="351"/>
      <c r="W14" s="351"/>
      <c r="X14" s="351"/>
      <c r="Y14" s="351"/>
      <c r="Z14" s="351"/>
      <c r="AA14" s="351"/>
      <c r="AB14" s="351"/>
      <c r="AC14" s="351"/>
      <c r="AD14" s="351"/>
      <c r="AE14" s="351"/>
      <c r="AF14" s="351"/>
      <c r="AG14" s="351"/>
      <c r="AH14" s="351"/>
      <c r="AI14" s="351"/>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49"/>
      <c r="BH14" s="349"/>
      <c r="BI14" s="349"/>
      <c r="BJ14" s="349"/>
      <c r="BK14" s="349"/>
      <c r="BL14" s="349"/>
      <c r="BM14" s="350"/>
    </row>
    <row r="15" spans="1:65" ht="18.75" customHeight="1" x14ac:dyDescent="0.35">
      <c r="A15" s="354"/>
      <c r="C15" s="16"/>
      <c r="D15" s="16"/>
      <c r="E15" s="16"/>
      <c r="F15" s="16"/>
      <c r="G15" s="16"/>
      <c r="H15" s="16"/>
      <c r="I15" s="16"/>
      <c r="J15" s="16"/>
      <c r="K15" s="16"/>
      <c r="L15" s="16"/>
      <c r="M15" s="16"/>
      <c r="N15" s="16"/>
      <c r="O15" s="16"/>
      <c r="P15" s="16"/>
      <c r="Q15" s="16"/>
      <c r="R15" s="355"/>
      <c r="S15" s="356"/>
      <c r="T15" s="356"/>
      <c r="U15" s="356"/>
      <c r="V15" s="356"/>
      <c r="W15" s="356"/>
      <c r="X15" s="356"/>
      <c r="Y15" s="356"/>
      <c r="Z15" s="356"/>
      <c r="AA15" s="356"/>
      <c r="AB15" s="356"/>
      <c r="AC15" s="356"/>
      <c r="AD15" s="356"/>
      <c r="AE15" s="356"/>
      <c r="AF15" s="356"/>
      <c r="AG15" s="356"/>
      <c r="AH15" s="356"/>
      <c r="AI15" s="356"/>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row>
    <row r="16" spans="1:65" ht="22.5" customHeight="1" x14ac:dyDescent="0.35">
      <c r="A16" s="357" t="s">
        <v>79</v>
      </c>
      <c r="B16" s="358"/>
      <c r="C16" s="844">
        <f>'5. Abikõlblik kulu'!C3</f>
        <v>0.04</v>
      </c>
      <c r="D16" s="835"/>
    </row>
    <row r="17" spans="1:4" ht="39" customHeight="1" x14ac:dyDescent="0.35">
      <c r="A17" s="323" t="s">
        <v>240</v>
      </c>
      <c r="B17" s="359" t="s">
        <v>3</v>
      </c>
      <c r="C17" s="834">
        <f>NPV(C16,C14:Q14)</f>
        <v>0</v>
      </c>
      <c r="D17" s="835"/>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486A-E719-48CA-BF63-8B1B173A1D7C}">
  <dimension ref="A2:F12"/>
  <sheetViews>
    <sheetView workbookViewId="0">
      <selection activeCell="C5" sqref="C5"/>
    </sheetView>
  </sheetViews>
  <sheetFormatPr defaultRowHeight="14.5" x14ac:dyDescent="0.35"/>
  <cols>
    <col min="1" max="1" width="14.7265625" customWidth="1"/>
    <col min="2" max="2" width="16.26953125" customWidth="1"/>
    <col min="3" max="3" width="11.81640625" customWidth="1"/>
    <col min="4" max="4" width="12.81640625" customWidth="1"/>
    <col min="6" max="6" width="11" customWidth="1"/>
  </cols>
  <sheetData>
    <row r="2" spans="1:6" x14ac:dyDescent="0.35">
      <c r="A2" s="719" t="s">
        <v>541</v>
      </c>
      <c r="C2" s="720"/>
      <c r="D2" s="720"/>
    </row>
    <row r="3" spans="1:6" x14ac:dyDescent="0.35">
      <c r="A3" s="845"/>
      <c r="B3" s="846"/>
      <c r="C3" s="849" t="s">
        <v>542</v>
      </c>
      <c r="D3" s="849"/>
    </row>
    <row r="4" spans="1:6" x14ac:dyDescent="0.35">
      <c r="A4" s="847"/>
      <c r="B4" s="848"/>
      <c r="C4" s="721">
        <v>8</v>
      </c>
      <c r="D4" s="722">
        <v>13</v>
      </c>
    </row>
    <row r="5" spans="1:6" x14ac:dyDescent="0.35">
      <c r="A5" s="850" t="str">
        <f>'1. Projekti elluviimise kulud'!B8</f>
        <v>3.1. Loometööstuse inkubaatori koos stuudiokompleksiga ehitamise ja seadmete ostmise kulud</v>
      </c>
      <c r="B5" s="850"/>
      <c r="C5" s="723">
        <f>'1. Projekti elluviimise kulud'!E19*C6</f>
        <v>0</v>
      </c>
      <c r="D5" s="723">
        <f>'1. Projekti elluviimise kulud'!E19*D6</f>
        <v>164070</v>
      </c>
      <c r="F5" s="502"/>
    </row>
    <row r="6" spans="1:6" x14ac:dyDescent="0.35">
      <c r="A6" s="851" t="s">
        <v>543</v>
      </c>
      <c r="B6" s="851"/>
      <c r="C6" s="724"/>
      <c r="D6" s="728">
        <v>1.4999999999999999E-2</v>
      </c>
    </row>
    <row r="8" spans="1:6" ht="20.25" customHeight="1" x14ac:dyDescent="0.35">
      <c r="D8" s="502"/>
    </row>
    <row r="10" spans="1:6" x14ac:dyDescent="0.35">
      <c r="C10" s="729"/>
      <c r="D10" s="746"/>
    </row>
    <row r="11" spans="1:6" x14ac:dyDescent="0.35">
      <c r="C11" s="747"/>
      <c r="D11" s="747"/>
      <c r="F11" s="502"/>
    </row>
    <row r="12" spans="1:6" x14ac:dyDescent="0.35">
      <c r="C12" s="748"/>
      <c r="D12" s="749"/>
    </row>
  </sheetData>
  <mergeCells count="4">
    <mergeCell ref="A3:B4"/>
    <mergeCell ref="C3:D3"/>
    <mergeCell ref="A5:B5"/>
    <mergeCell ref="A6:B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4"/>
  <sheetViews>
    <sheetView workbookViewId="0">
      <selection activeCell="I15" sqref="I15"/>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174</v>
      </c>
    </row>
    <row r="2" spans="1:16" s="250" customFormat="1" ht="21" customHeight="1" x14ac:dyDescent="0.35">
      <c r="A2" s="290"/>
      <c r="B2" s="291">
        <f>Esileht!B10</f>
        <v>2024</v>
      </c>
      <c r="C2" s="291">
        <f>B2+1</f>
        <v>2025</v>
      </c>
      <c r="D2" s="291">
        <f t="shared" ref="D2:K2" si="0">C2+1</f>
        <v>2026</v>
      </c>
      <c r="E2" s="291">
        <f t="shared" si="0"/>
        <v>2027</v>
      </c>
      <c r="F2" s="291">
        <f t="shared" si="0"/>
        <v>2028</v>
      </c>
      <c r="G2" s="291">
        <f t="shared" si="0"/>
        <v>2029</v>
      </c>
      <c r="H2" s="291">
        <f t="shared" si="0"/>
        <v>2030</v>
      </c>
      <c r="I2" s="291">
        <f t="shared" si="0"/>
        <v>2031</v>
      </c>
      <c r="J2" s="291">
        <f t="shared" si="0"/>
        <v>2032</v>
      </c>
      <c r="K2" s="291">
        <f t="shared" si="0"/>
        <v>2033</v>
      </c>
      <c r="L2" s="291">
        <f t="shared" ref="L2" si="1">K2+1</f>
        <v>2034</v>
      </c>
      <c r="M2" s="291">
        <f t="shared" ref="M2" si="2">L2+1</f>
        <v>2035</v>
      </c>
      <c r="N2" s="291">
        <f t="shared" ref="N2" si="3">M2+1</f>
        <v>2036</v>
      </c>
      <c r="O2" s="291">
        <f t="shared" ref="O2" si="4">N2+1</f>
        <v>2037</v>
      </c>
      <c r="P2" s="291">
        <f t="shared" ref="P2" si="5">O2+1</f>
        <v>2038</v>
      </c>
    </row>
    <row r="3" spans="1:16" ht="27.75" customHeight="1" x14ac:dyDescent="0.35">
      <c r="A3" s="283" t="s">
        <v>175</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176</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177</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21" t="s">
        <v>225</v>
      </c>
    </row>
    <row r="9" spans="1:16" ht="21.75" customHeight="1" x14ac:dyDescent="0.35">
      <c r="A9" s="322" t="s">
        <v>247</v>
      </c>
    </row>
    <row r="10" spans="1:16" ht="21.75" customHeight="1" x14ac:dyDescent="0.35">
      <c r="A10" s="322"/>
    </row>
    <row r="11" spans="1:16" ht="21.75" customHeight="1" x14ac:dyDescent="0.35">
      <c r="A11" s="322"/>
    </row>
    <row r="12" spans="1:16" ht="21.75" customHeight="1" x14ac:dyDescent="0.35">
      <c r="A12" s="322"/>
    </row>
    <row r="13" spans="1:16" ht="32.25" customHeight="1" x14ac:dyDescent="0.35">
      <c r="A13" s="321" t="s">
        <v>226</v>
      </c>
    </row>
    <row r="14" spans="1:16" ht="21.75" customHeight="1" x14ac:dyDescent="0.35">
      <c r="A14" s="322" t="s">
        <v>248</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6"/>
  <sheetViews>
    <sheetView workbookViewId="0">
      <selection activeCell="H19" sqref="H19"/>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206</v>
      </c>
    </row>
    <row r="2" spans="1:2" ht="5.25" customHeight="1" x14ac:dyDescent="0.35"/>
    <row r="3" spans="1:2" ht="36" customHeight="1" x14ac:dyDescent="0.35">
      <c r="A3" s="259" t="s">
        <v>207</v>
      </c>
      <c r="B3" s="320" t="s">
        <v>208</v>
      </c>
    </row>
    <row r="4" spans="1:2" ht="17.25" customHeight="1" x14ac:dyDescent="0.35">
      <c r="A4" s="103" t="s">
        <v>209</v>
      </c>
      <c r="B4" s="72" t="s">
        <v>210</v>
      </c>
    </row>
    <row r="5" spans="1:2" ht="17.25" customHeight="1" x14ac:dyDescent="0.35">
      <c r="A5" s="103" t="s">
        <v>211</v>
      </c>
      <c r="B5" s="72">
        <v>30</v>
      </c>
    </row>
    <row r="6" spans="1:2" ht="17.25" customHeight="1" x14ac:dyDescent="0.35">
      <c r="A6" s="103" t="s">
        <v>212</v>
      </c>
      <c r="B6" s="72">
        <v>30</v>
      </c>
    </row>
    <row r="7" spans="1:2" ht="17.25" customHeight="1" x14ac:dyDescent="0.35">
      <c r="A7" s="103" t="s">
        <v>213</v>
      </c>
      <c r="B7" s="72" t="s">
        <v>214</v>
      </c>
    </row>
    <row r="8" spans="1:2" ht="17.25" customHeight="1" x14ac:dyDescent="0.35">
      <c r="A8" s="103" t="s">
        <v>215</v>
      </c>
      <c r="B8" s="72">
        <v>25</v>
      </c>
    </row>
    <row r="9" spans="1:2" ht="17.25" customHeight="1" x14ac:dyDescent="0.35">
      <c r="A9" s="103" t="s">
        <v>216</v>
      </c>
      <c r="B9" s="72" t="s">
        <v>214</v>
      </c>
    </row>
    <row r="10" spans="1:2" ht="17.25" customHeight="1" x14ac:dyDescent="0.35">
      <c r="A10" s="103" t="s">
        <v>217</v>
      </c>
      <c r="B10" s="72" t="s">
        <v>214</v>
      </c>
    </row>
    <row r="11" spans="1:2" ht="17.25" customHeight="1" x14ac:dyDescent="0.35">
      <c r="A11" s="103" t="s">
        <v>218</v>
      </c>
      <c r="B11" s="72" t="s">
        <v>219</v>
      </c>
    </row>
    <row r="12" spans="1:2" ht="17.25" customHeight="1" x14ac:dyDescent="0.35">
      <c r="A12" s="103" t="s">
        <v>220</v>
      </c>
      <c r="B12" s="72" t="s">
        <v>210</v>
      </c>
    </row>
    <row r="13" spans="1:2" ht="17.25" customHeight="1" x14ac:dyDescent="0.35">
      <c r="A13" s="103" t="s">
        <v>221</v>
      </c>
      <c r="B13" s="72" t="s">
        <v>222</v>
      </c>
    </row>
    <row r="14" spans="1:2" ht="17.25" customHeight="1" x14ac:dyDescent="0.35">
      <c r="A14" s="103" t="s">
        <v>223</v>
      </c>
      <c r="B14" s="72" t="s">
        <v>222</v>
      </c>
    </row>
    <row r="16" spans="1:2" ht="38.25" customHeight="1" x14ac:dyDescent="0.35">
      <c r="A16" s="852" t="s">
        <v>224</v>
      </c>
      <c r="B16" s="852"/>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N65"/>
  <sheetViews>
    <sheetView workbookViewId="0">
      <pane xSplit="1" ySplit="3" topLeftCell="B49" activePane="bottomRight" state="frozen"/>
      <selection pane="topRight" activeCell="B1" sqref="B1"/>
      <selection pane="bottomLeft" activeCell="A4" sqref="A4"/>
      <selection pane="bottomRight" activeCell="A65" sqref="A65"/>
    </sheetView>
  </sheetViews>
  <sheetFormatPr defaultColWidth="9.1796875" defaultRowHeight="14.5" x14ac:dyDescent="0.35"/>
  <cols>
    <col min="1" max="1" width="42" style="365" customWidth="1"/>
    <col min="2" max="2" width="12.7265625" style="365" customWidth="1"/>
    <col min="3" max="3" width="13.54296875" style="365" customWidth="1"/>
    <col min="4" max="4" width="13.26953125" style="365" customWidth="1"/>
    <col min="5" max="8" width="9.1796875" style="365" hidden="1" customWidth="1"/>
    <col min="9" max="9" width="19.1796875" style="365" customWidth="1"/>
    <col min="10" max="10" width="26" style="365" customWidth="1"/>
    <col min="11" max="11" width="13.453125" style="365" customWidth="1"/>
    <col min="12" max="12" width="9.1796875" style="365"/>
    <col min="13" max="13" width="11.1796875" style="365" customWidth="1"/>
    <col min="14" max="16384" width="9.1796875" style="365"/>
  </cols>
  <sheetData>
    <row r="1" spans="1:9" hidden="1" x14ac:dyDescent="0.35">
      <c r="A1" s="364" t="s">
        <v>292</v>
      </c>
    </row>
    <row r="2" spans="1:9" hidden="1" x14ac:dyDescent="0.35"/>
    <row r="3" spans="1:9" ht="30" hidden="1" customHeight="1" x14ac:dyDescent="0.35">
      <c r="A3" s="638" t="s">
        <v>465</v>
      </c>
      <c r="B3" s="638" t="s">
        <v>274</v>
      </c>
      <c r="C3" s="638" t="s">
        <v>474</v>
      </c>
      <c r="D3" s="638" t="s">
        <v>475</v>
      </c>
      <c r="E3"/>
      <c r="F3"/>
      <c r="G3"/>
      <c r="H3"/>
      <c r="I3" s="706"/>
    </row>
    <row r="4" spans="1:9" hidden="1" x14ac:dyDescent="0.35">
      <c r="A4" s="611"/>
      <c r="B4" s="611"/>
      <c r="C4" s="611"/>
      <c r="D4" s="611"/>
      <c r="E4"/>
      <c r="F4"/>
      <c r="G4"/>
      <c r="H4"/>
    </row>
    <row r="5" spans="1:9" hidden="1" x14ac:dyDescent="0.35">
      <c r="A5" s="639" t="s">
        <v>466</v>
      </c>
      <c r="B5" s="640">
        <f>C5*4</f>
        <v>0</v>
      </c>
      <c r="C5" s="641">
        <f>SUM(C6:C8)</f>
        <v>0</v>
      </c>
      <c r="D5" s="641">
        <f>SUM(D6:D8)</f>
        <v>0</v>
      </c>
      <c r="E5"/>
      <c r="F5"/>
      <c r="G5"/>
      <c r="H5"/>
    </row>
    <row r="6" spans="1:9" hidden="1" x14ac:dyDescent="0.35">
      <c r="A6" s="611" t="s">
        <v>430</v>
      </c>
      <c r="B6" s="611"/>
      <c r="C6" s="611"/>
      <c r="D6" s="611"/>
      <c r="E6"/>
      <c r="F6" t="s">
        <v>275</v>
      </c>
      <c r="G6"/>
      <c r="H6" t="s">
        <v>276</v>
      </c>
    </row>
    <row r="7" spans="1:9" hidden="1" x14ac:dyDescent="0.35">
      <c r="A7" s="611" t="s">
        <v>431</v>
      </c>
      <c r="B7" s="611"/>
      <c r="C7" s="611"/>
      <c r="D7" s="611"/>
      <c r="E7"/>
      <c r="F7" t="s">
        <v>277</v>
      </c>
      <c r="G7"/>
      <c r="H7" t="s">
        <v>278</v>
      </c>
    </row>
    <row r="8" spans="1:9" hidden="1" x14ac:dyDescent="0.35">
      <c r="A8" s="611" t="s">
        <v>432</v>
      </c>
      <c r="B8" s="611"/>
      <c r="C8" s="611"/>
      <c r="D8" s="611"/>
      <c r="E8"/>
      <c r="F8" t="s">
        <v>277</v>
      </c>
      <c r="G8"/>
      <c r="H8" t="s">
        <v>278</v>
      </c>
    </row>
    <row r="9" spans="1:9" hidden="1" x14ac:dyDescent="0.35">
      <c r="A9" s="611"/>
      <c r="B9" s="611"/>
      <c r="C9" s="611"/>
      <c r="D9" s="611"/>
      <c r="E9"/>
      <c r="F9"/>
      <c r="G9"/>
      <c r="H9"/>
    </row>
    <row r="10" spans="1:9" hidden="1" x14ac:dyDescent="0.35">
      <c r="A10" s="639" t="s">
        <v>467</v>
      </c>
      <c r="B10" s="639">
        <f>C10*4</f>
        <v>0</v>
      </c>
      <c r="C10" s="641">
        <f>C11+C12</f>
        <v>0</v>
      </c>
      <c r="D10" s="641">
        <f>D11+D12</f>
        <v>0</v>
      </c>
      <c r="E10"/>
      <c r="F10"/>
      <c r="G10"/>
      <c r="H10"/>
    </row>
    <row r="11" spans="1:9" hidden="1" x14ac:dyDescent="0.35">
      <c r="A11" s="611" t="s">
        <v>273</v>
      </c>
      <c r="B11" s="611"/>
      <c r="C11" s="611"/>
      <c r="D11" s="611"/>
      <c r="E11"/>
      <c r="F11" t="s">
        <v>275</v>
      </c>
      <c r="G11"/>
      <c r="H11" t="s">
        <v>276</v>
      </c>
    </row>
    <row r="12" spans="1:9" hidden="1" x14ac:dyDescent="0.35">
      <c r="A12" s="611" t="s">
        <v>279</v>
      </c>
      <c r="B12" s="611"/>
      <c r="C12" s="611"/>
      <c r="D12" s="611"/>
      <c r="E12"/>
      <c r="F12" t="s">
        <v>275</v>
      </c>
      <c r="G12"/>
      <c r="H12" t="s">
        <v>278</v>
      </c>
    </row>
    <row r="13" spans="1:9" hidden="1" x14ac:dyDescent="0.35">
      <c r="A13" s="611"/>
      <c r="B13" s="611"/>
      <c r="C13" s="611"/>
      <c r="D13" s="611"/>
      <c r="E13"/>
      <c r="F13"/>
      <c r="G13"/>
      <c r="H13"/>
    </row>
    <row r="14" spans="1:9" hidden="1" x14ac:dyDescent="0.35">
      <c r="A14" s="639" t="s">
        <v>468</v>
      </c>
      <c r="B14" s="639">
        <f>SUM(B15:B18)</f>
        <v>0</v>
      </c>
      <c r="C14" s="639">
        <f>SUM(C15:C18)</f>
        <v>0</v>
      </c>
      <c r="D14" s="641"/>
      <c r="E14"/>
      <c r="F14"/>
      <c r="G14"/>
      <c r="H14"/>
    </row>
    <row r="15" spans="1:9" hidden="1" x14ac:dyDescent="0.35">
      <c r="A15" s="611" t="s">
        <v>433</v>
      </c>
      <c r="B15" s="611"/>
      <c r="C15" s="611"/>
      <c r="D15" s="611"/>
      <c r="E15"/>
      <c r="F15" t="s">
        <v>277</v>
      </c>
      <c r="G15"/>
      <c r="H15" t="s">
        <v>276</v>
      </c>
    </row>
    <row r="16" spans="1:9" hidden="1" x14ac:dyDescent="0.35">
      <c r="A16" s="611" t="s">
        <v>280</v>
      </c>
      <c r="B16" s="611"/>
      <c r="C16" s="611"/>
      <c r="D16" s="611"/>
      <c r="E16"/>
      <c r="F16" t="s">
        <v>277</v>
      </c>
      <c r="G16"/>
      <c r="H16" t="s">
        <v>278</v>
      </c>
    </row>
    <row r="17" spans="1:11" hidden="1" x14ac:dyDescent="0.35">
      <c r="A17" s="611" t="s">
        <v>281</v>
      </c>
      <c r="B17" s="611"/>
      <c r="C17" s="611"/>
      <c r="D17" s="611"/>
      <c r="E17"/>
      <c r="F17" t="s">
        <v>277</v>
      </c>
      <c r="G17"/>
      <c r="H17" t="s">
        <v>276</v>
      </c>
    </row>
    <row r="18" spans="1:11" hidden="1" x14ac:dyDescent="0.35">
      <c r="A18" s="611" t="s">
        <v>434</v>
      </c>
      <c r="B18" s="611"/>
      <c r="C18" s="611"/>
      <c r="D18" s="611"/>
      <c r="E18"/>
      <c r="F18" t="s">
        <v>277</v>
      </c>
      <c r="G18"/>
      <c r="H18" t="s">
        <v>276</v>
      </c>
    </row>
    <row r="19" spans="1:11" hidden="1" x14ac:dyDescent="0.35">
      <c r="A19" s="639" t="s">
        <v>469</v>
      </c>
      <c r="B19" s="641">
        <f>SUM(B20:B22)</f>
        <v>0</v>
      </c>
      <c r="C19" s="641">
        <f>SUM(C20:C22)</f>
        <v>0</v>
      </c>
      <c r="D19" s="641">
        <f>SUM(D20:D22)</f>
        <v>0</v>
      </c>
      <c r="E19"/>
      <c r="F19"/>
      <c r="G19"/>
      <c r="H19"/>
    </row>
    <row r="20" spans="1:11" hidden="1" x14ac:dyDescent="0.35">
      <c r="A20" s="611" t="s">
        <v>470</v>
      </c>
      <c r="B20" s="611"/>
      <c r="C20" s="611"/>
      <c r="D20" s="611"/>
      <c r="E20"/>
      <c r="F20" t="s">
        <v>275</v>
      </c>
      <c r="G20"/>
      <c r="H20" t="s">
        <v>276</v>
      </c>
    </row>
    <row r="21" spans="1:11" hidden="1" x14ac:dyDescent="0.35">
      <c r="A21" s="611" t="s">
        <v>282</v>
      </c>
      <c r="B21" s="611"/>
      <c r="C21" s="611"/>
      <c r="D21" s="611"/>
      <c r="E21"/>
      <c r="F21" t="s">
        <v>275</v>
      </c>
      <c r="G21"/>
      <c r="H21" t="s">
        <v>276</v>
      </c>
    </row>
    <row r="22" spans="1:11" hidden="1" x14ac:dyDescent="0.35">
      <c r="A22" s="611" t="s">
        <v>283</v>
      </c>
      <c r="B22" s="611"/>
      <c r="C22" s="611"/>
      <c r="D22" s="611"/>
      <c r="E22"/>
      <c r="F22" t="s">
        <v>275</v>
      </c>
      <c r="G22"/>
      <c r="H22" t="s">
        <v>278</v>
      </c>
    </row>
    <row r="23" spans="1:11" hidden="1" x14ac:dyDescent="0.35">
      <c r="A23" s="611"/>
      <c r="B23" s="611"/>
      <c r="C23" s="611"/>
      <c r="D23" s="611"/>
      <c r="E23"/>
      <c r="F23"/>
      <c r="G23"/>
      <c r="H23"/>
    </row>
    <row r="24" spans="1:11" hidden="1" x14ac:dyDescent="0.35">
      <c r="A24" s="639" t="s">
        <v>471</v>
      </c>
      <c r="B24" s="641">
        <f>SUM(B25:B28)</f>
        <v>0</v>
      </c>
      <c r="C24" s="641">
        <f>SUM(C25:C28)</f>
        <v>0</v>
      </c>
      <c r="D24" s="641">
        <f>SUM(D25:D28)</f>
        <v>0</v>
      </c>
      <c r="E24"/>
      <c r="F24"/>
      <c r="G24"/>
      <c r="H24"/>
    </row>
    <row r="25" spans="1:11" hidden="1" x14ac:dyDescent="0.35">
      <c r="A25" s="611" t="s">
        <v>435</v>
      </c>
      <c r="B25" s="611"/>
      <c r="C25" s="611"/>
      <c r="D25" s="611"/>
      <c r="E25"/>
      <c r="F25" t="s">
        <v>275</v>
      </c>
      <c r="G25" t="s">
        <v>277</v>
      </c>
      <c r="H25" t="s">
        <v>276</v>
      </c>
      <c r="K25" s="366"/>
    </row>
    <row r="26" spans="1:11" hidden="1" x14ac:dyDescent="0.35">
      <c r="A26" s="611" t="s">
        <v>436</v>
      </c>
      <c r="B26" s="611"/>
      <c r="C26" s="611"/>
      <c r="D26" s="611"/>
      <c r="E26"/>
      <c r="F26" t="s">
        <v>277</v>
      </c>
      <c r="G26"/>
      <c r="H26" t="s">
        <v>276</v>
      </c>
    </row>
    <row r="27" spans="1:11" hidden="1" x14ac:dyDescent="0.35">
      <c r="A27" s="611" t="s">
        <v>284</v>
      </c>
      <c r="B27" s="611"/>
      <c r="C27" s="611"/>
      <c r="D27" s="611"/>
      <c r="E27"/>
      <c r="F27" t="s">
        <v>275</v>
      </c>
      <c r="G27" t="s">
        <v>277</v>
      </c>
      <c r="H27" t="s">
        <v>276</v>
      </c>
    </row>
    <row r="28" spans="1:11" hidden="1" x14ac:dyDescent="0.35">
      <c r="A28" s="611" t="s">
        <v>283</v>
      </c>
      <c r="B28" s="611"/>
      <c r="C28" s="611"/>
      <c r="D28" s="611"/>
      <c r="E28"/>
      <c r="F28" t="s">
        <v>277</v>
      </c>
      <c r="G28"/>
      <c r="H28" t="s">
        <v>278</v>
      </c>
    </row>
    <row r="29" spans="1:11" hidden="1" x14ac:dyDescent="0.35">
      <c r="A29" s="639" t="s">
        <v>472</v>
      </c>
      <c r="B29" s="639">
        <f>SUM(B30:B32)</f>
        <v>0</v>
      </c>
      <c r="C29" s="639">
        <f>SUM(C30:C32)</f>
        <v>0</v>
      </c>
      <c r="D29" s="641">
        <f>SUM(D30:D32)</f>
        <v>0</v>
      </c>
      <c r="E29"/>
      <c r="F29"/>
      <c r="G29"/>
      <c r="H29"/>
    </row>
    <row r="30" spans="1:11" hidden="1" x14ac:dyDescent="0.35">
      <c r="A30" s="611" t="s">
        <v>473</v>
      </c>
      <c r="B30" s="611"/>
      <c r="C30" s="611"/>
      <c r="D30" s="611"/>
      <c r="E30"/>
      <c r="F30" t="s">
        <v>277</v>
      </c>
      <c r="G30"/>
      <c r="H30" t="s">
        <v>276</v>
      </c>
    </row>
    <row r="31" spans="1:11" hidden="1" x14ac:dyDescent="0.35">
      <c r="A31" s="611" t="s">
        <v>428</v>
      </c>
      <c r="B31" s="611"/>
      <c r="C31" s="611"/>
      <c r="D31" s="611"/>
      <c r="E31"/>
      <c r="F31" t="s">
        <v>277</v>
      </c>
      <c r="G31"/>
      <c r="H31" t="s">
        <v>278</v>
      </c>
    </row>
    <row r="32" spans="1:11" hidden="1" x14ac:dyDescent="0.35">
      <c r="A32" s="611" t="s">
        <v>283</v>
      </c>
      <c r="B32" s="611"/>
      <c r="C32" s="611"/>
      <c r="D32" s="611"/>
      <c r="E32"/>
      <c r="F32" t="s">
        <v>277</v>
      </c>
      <c r="G32"/>
      <c r="H32" t="s">
        <v>278</v>
      </c>
    </row>
    <row r="33" spans="1:13" hidden="1" x14ac:dyDescent="0.35">
      <c r="A33" s="611"/>
      <c r="B33" s="611"/>
      <c r="C33" s="611"/>
      <c r="D33" s="611"/>
      <c r="E33"/>
      <c r="F33"/>
      <c r="G33"/>
      <c r="H33"/>
    </row>
    <row r="34" spans="1:13" hidden="1" x14ac:dyDescent="0.35">
      <c r="A34" s="611"/>
      <c r="B34" s="611"/>
      <c r="C34" s="611"/>
      <c r="D34" s="611"/>
      <c r="E34"/>
      <c r="F34"/>
      <c r="G34"/>
      <c r="H34"/>
    </row>
    <row r="35" spans="1:13" hidden="1" x14ac:dyDescent="0.35">
      <c r="A35" s="614"/>
      <c r="B35" s="614"/>
      <c r="C35" s="614"/>
      <c r="D35" s="614"/>
      <c r="E35"/>
      <c r="F35"/>
      <c r="G35"/>
      <c r="H35"/>
    </row>
    <row r="36" spans="1:13" hidden="1" x14ac:dyDescent="0.35">
      <c r="A36" s="642" t="s">
        <v>429</v>
      </c>
      <c r="B36" s="611">
        <f>B5+B10+B14+B19+B24+B29</f>
        <v>0</v>
      </c>
      <c r="C36" s="611">
        <f>C5+C10+C14+C19+C24+C29</f>
        <v>0</v>
      </c>
      <c r="D36" s="611">
        <f>D5+D10+D14+D19+D24+D29</f>
        <v>0</v>
      </c>
      <c r="E36"/>
      <c r="F36"/>
      <c r="G36"/>
      <c r="H36"/>
    </row>
    <row r="37" spans="1:13" hidden="1" x14ac:dyDescent="0.35">
      <c r="A37" s="643" t="s">
        <v>476</v>
      </c>
      <c r="B37" s="611">
        <f>SUM(B6,B7,B11,B15,B18,B20:B21,B25,B27,B30)</f>
        <v>0</v>
      </c>
      <c r="C37" s="611">
        <f>SUM(C6,C7,C11,C15,C18,C20:C21,C25,C27,C30)</f>
        <v>0</v>
      </c>
      <c r="D37" s="611">
        <f>SUM(D6,D7,D11,D15,D18,D20:D21,D25,D27,D30)</f>
        <v>0</v>
      </c>
      <c r="E37" s="493" t="e">
        <f>C37/C36</f>
        <v>#DIV/0!</v>
      </c>
      <c r="F37"/>
      <c r="G37"/>
      <c r="H37"/>
    </row>
    <row r="38" spans="1:13" hidden="1" x14ac:dyDescent="0.35">
      <c r="A38" s="643" t="s">
        <v>477</v>
      </c>
      <c r="B38" s="611">
        <f>SUM(B8,B12,B16,B17,B22,B28,B31:B32)</f>
        <v>0</v>
      </c>
      <c r="C38" s="611">
        <f>SUM(C8,C12,C16,C17,C22,C28,C31:C32)</f>
        <v>0</v>
      </c>
      <c r="D38" s="611">
        <f>SUM(D8,D12,D16,D17,D22,D28,D31:D32)</f>
        <v>0</v>
      </c>
      <c r="E38" s="493" t="e">
        <f>C38/C36</f>
        <v>#DIV/0!</v>
      </c>
      <c r="F38"/>
      <c r="G38"/>
      <c r="H38"/>
    </row>
    <row r="39" spans="1:13" hidden="1" x14ac:dyDescent="0.35">
      <c r="A39" s="644" t="s">
        <v>277</v>
      </c>
      <c r="B39" s="611">
        <f>B26</f>
        <v>0</v>
      </c>
      <c r="C39" s="611">
        <f>C26</f>
        <v>0</v>
      </c>
      <c r="D39" s="611">
        <f>D26</f>
        <v>0</v>
      </c>
      <c r="E39" s="493"/>
      <c r="F39"/>
      <c r="G39"/>
      <c r="H39"/>
    </row>
    <row r="40" spans="1:13" hidden="1" x14ac:dyDescent="0.35">
      <c r="A40" s="614"/>
      <c r="B40" s="614"/>
      <c r="C40" s="614"/>
      <c r="D40" s="614"/>
      <c r="E40"/>
      <c r="F40"/>
      <c r="G40"/>
      <c r="H40"/>
    </row>
    <row r="41" spans="1:13" hidden="1" x14ac:dyDescent="0.35">
      <c r="A41" s="614" t="s">
        <v>478</v>
      </c>
      <c r="B41" s="614"/>
      <c r="C41" s="614"/>
      <c r="D41" s="614"/>
      <c r="E41"/>
      <c r="F41"/>
      <c r="G41"/>
      <c r="H41"/>
    </row>
    <row r="42" spans="1:13" hidden="1" x14ac:dyDescent="0.35">
      <c r="A42" s="645" t="s">
        <v>277</v>
      </c>
      <c r="B42" s="611">
        <f>SUM(B15,B17:B18,B26,B30)</f>
        <v>0</v>
      </c>
      <c r="C42" s="611">
        <f>SUM(C15,C17:C18,C26,C30)</f>
        <v>0</v>
      </c>
      <c r="D42" s="611">
        <f>SUM(D15,D17:D18,D26,D30)</f>
        <v>0</v>
      </c>
      <c r="E42" s="494" t="e">
        <f>C42/C37</f>
        <v>#DIV/0!</v>
      </c>
      <c r="F42"/>
      <c r="G42"/>
      <c r="H42"/>
      <c r="M42" s="367"/>
    </row>
    <row r="43" spans="1:13" hidden="1" x14ac:dyDescent="0.35">
      <c r="A43" s="645" t="s">
        <v>437</v>
      </c>
      <c r="B43" s="611">
        <f>B37-B42</f>
        <v>0</v>
      </c>
      <c r="C43" s="611">
        <f>C37-C42</f>
        <v>0</v>
      </c>
      <c r="D43" s="611">
        <f>D37-D42</f>
        <v>0</v>
      </c>
      <c r="E43" s="494" t="e">
        <f>C43/C37</f>
        <v>#DIV/0!</v>
      </c>
      <c r="F43"/>
      <c r="G43"/>
      <c r="H43"/>
      <c r="M43" s="367"/>
    </row>
    <row r="44" spans="1:13" hidden="1" x14ac:dyDescent="0.35">
      <c r="A44"/>
      <c r="B44"/>
      <c r="C44"/>
      <c r="D44"/>
      <c r="E44"/>
      <c r="F44"/>
      <c r="G44"/>
      <c r="H44"/>
      <c r="M44" s="367"/>
    </row>
    <row r="45" spans="1:13" hidden="1" x14ac:dyDescent="0.35">
      <c r="A45"/>
      <c r="B45"/>
      <c r="C45"/>
      <c r="D45"/>
      <c r="E45"/>
      <c r="F45"/>
      <c r="G45"/>
      <c r="H45"/>
      <c r="M45" s="367"/>
    </row>
    <row r="46" spans="1:13" x14ac:dyDescent="0.35">
      <c r="A46" s="495" t="s">
        <v>449</v>
      </c>
      <c r="B46"/>
      <c r="C46"/>
      <c r="D46"/>
      <c r="E46"/>
      <c r="F46"/>
      <c r="G46"/>
      <c r="H46"/>
    </row>
    <row r="47" spans="1:13" x14ac:dyDescent="0.35">
      <c r="A47"/>
      <c r="B47"/>
      <c r="C47"/>
      <c r="D47"/>
      <c r="E47"/>
      <c r="F47"/>
      <c r="G47"/>
      <c r="H47"/>
      <c r="J47" s="368"/>
    </row>
    <row r="48" spans="1:13" x14ac:dyDescent="0.35">
      <c r="A48" s="489" t="s">
        <v>465</v>
      </c>
      <c r="B48" s="489" t="s">
        <v>274</v>
      </c>
      <c r="C48" s="489" t="s">
        <v>479</v>
      </c>
      <c r="D48" s="489" t="s">
        <v>480</v>
      </c>
      <c r="E48"/>
      <c r="F48"/>
      <c r="G48"/>
      <c r="H48"/>
      <c r="I48" s="707" t="s">
        <v>519</v>
      </c>
      <c r="J48" s="368"/>
    </row>
    <row r="49" spans="1:14" x14ac:dyDescent="0.35">
      <c r="A49" s="490"/>
      <c r="B49" s="490"/>
      <c r="C49" s="490"/>
      <c r="D49" s="490"/>
      <c r="E49"/>
      <c r="F49"/>
      <c r="G49"/>
      <c r="H49"/>
      <c r="I49" s="708"/>
    </row>
    <row r="50" spans="1:14" x14ac:dyDescent="0.35">
      <c r="A50" s="491" t="s">
        <v>466</v>
      </c>
      <c r="B50" s="491">
        <f>SUM(B51+B53+B55+B56)</f>
        <v>80878.16</v>
      </c>
      <c r="C50" s="492">
        <f>SUM(C51+C53+C55+C56+C57)</f>
        <v>6651.4000000000015</v>
      </c>
      <c r="D50" s="492">
        <f>SUM(D51+D53+D55+D56+D57)</f>
        <v>6651.4000000000015</v>
      </c>
      <c r="E50"/>
      <c r="F50"/>
      <c r="G50"/>
      <c r="H50"/>
      <c r="I50" s="492"/>
      <c r="L50" s="367"/>
    </row>
    <row r="51" spans="1:14" ht="22.5" x14ac:dyDescent="0.35">
      <c r="A51" s="490" t="s">
        <v>583</v>
      </c>
      <c r="B51" s="490">
        <f>SUM(((C51-D52)*4.4)+B52)</f>
        <v>28831.040000000001</v>
      </c>
      <c r="C51" s="490">
        <f>D51</f>
        <v>1953.6000000000004</v>
      </c>
      <c r="D51" s="490">
        <f>1264.7+54+9.8+2.9+9.9+5.2+5.5+5.2+7.7+5.6+2.9+30.9+4.8+20.6+14.2+264.2+128.2+11.4+17.3+56.4+3.3+13.3+12.3+3.3</f>
        <v>1953.6000000000004</v>
      </c>
      <c r="E51"/>
      <c r="F51" t="s">
        <v>275</v>
      </c>
      <c r="G51" t="s">
        <v>277</v>
      </c>
      <c r="H51"/>
      <c r="I51" s="711" t="s">
        <v>521</v>
      </c>
    </row>
    <row r="52" spans="1:14" x14ac:dyDescent="0.35">
      <c r="A52" s="490" t="s">
        <v>286</v>
      </c>
      <c r="B52" s="490">
        <f>D52*20.4</f>
        <v>25799.879999999997</v>
      </c>
      <c r="C52" s="490"/>
      <c r="D52" s="490">
        <v>1264.7</v>
      </c>
      <c r="E52"/>
      <c r="F52" t="s">
        <v>275</v>
      </c>
      <c r="G52" t="s">
        <v>277</v>
      </c>
      <c r="H52"/>
      <c r="I52" s="711">
        <v>101</v>
      </c>
    </row>
    <row r="53" spans="1:14" ht="15.5" x14ac:dyDescent="0.35">
      <c r="A53" s="490" t="s">
        <v>584</v>
      </c>
      <c r="B53" s="490">
        <f>SUM(((C53-D54)*4.4)+B54)</f>
        <v>42551.12</v>
      </c>
      <c r="C53" s="490">
        <f t="shared" ref="C53" si="0">D53</f>
        <v>2323.8000000000011</v>
      </c>
      <c r="D53" s="490">
        <f>2020.4+54.9+3.2+12.5+13.5+3.2+2.9+53+17.3+72+12.8+12.4+6.1+12.4+8+5.3+3.3+5.3+5.3</f>
        <v>2323.8000000000011</v>
      </c>
      <c r="E53"/>
      <c r="F53" t="s">
        <v>275</v>
      </c>
      <c r="G53" t="s">
        <v>277</v>
      </c>
      <c r="H53"/>
      <c r="I53" s="711" t="s">
        <v>522</v>
      </c>
    </row>
    <row r="54" spans="1:14" x14ac:dyDescent="0.35">
      <c r="A54" s="490" t="s">
        <v>286</v>
      </c>
      <c r="B54" s="490">
        <f>D54*20.4</f>
        <v>41216.159999999996</v>
      </c>
      <c r="C54" s="490"/>
      <c r="D54" s="490">
        <v>2020.4</v>
      </c>
      <c r="E54"/>
      <c r="F54" t="s">
        <v>275</v>
      </c>
      <c r="G54" t="s">
        <v>277</v>
      </c>
      <c r="H54"/>
      <c r="I54" s="711">
        <v>117</v>
      </c>
      <c r="M54" s="367"/>
      <c r="N54" s="367"/>
    </row>
    <row r="55" spans="1:14" ht="22.5" x14ac:dyDescent="0.35">
      <c r="A55" s="490" t="s">
        <v>287</v>
      </c>
      <c r="B55" s="490">
        <f>D55*4</f>
        <v>2264.7999999999997</v>
      </c>
      <c r="C55" s="490">
        <f t="shared" ref="C55:C56" si="1">D55</f>
        <v>566.19999999999993</v>
      </c>
      <c r="D55" s="490">
        <f>19.3+11.1+12.1+12+4.5+18.5+18.7+10.2+16.1+16.1+10.2+7.6+7.6+16.4+12.3+65.3+65.3+37.6+40.9+16.3+20.8+54.3+53+7.4+4.8+3.4+4.4</f>
        <v>566.19999999999993</v>
      </c>
      <c r="E55"/>
      <c r="F55" t="s">
        <v>275</v>
      </c>
      <c r="G55" t="s">
        <v>277</v>
      </c>
      <c r="H55"/>
      <c r="I55" s="711" t="s">
        <v>523</v>
      </c>
    </row>
    <row r="56" spans="1:14" ht="15.5" x14ac:dyDescent="0.35">
      <c r="A56" s="490" t="s">
        <v>585</v>
      </c>
      <c r="B56" s="490">
        <f>D56*4</f>
        <v>7231.2</v>
      </c>
      <c r="C56" s="490">
        <f t="shared" si="1"/>
        <v>1807.8</v>
      </c>
      <c r="D56" s="490">
        <f>398.8+176.1+94.1+6.1+8.5+94+537.2+68.5+39.5+11.5+8.5+6.2+70.6+70.6+176.1+11.5+30</f>
        <v>1807.8</v>
      </c>
      <c r="E56"/>
      <c r="F56" t="s">
        <v>275</v>
      </c>
      <c r="G56" t="s">
        <v>277</v>
      </c>
      <c r="H56"/>
      <c r="I56" s="711" t="s">
        <v>520</v>
      </c>
    </row>
    <row r="57" spans="1:14" x14ac:dyDescent="0.35">
      <c r="A57" s="490"/>
      <c r="B57" s="490"/>
      <c r="C57" s="490"/>
      <c r="D57" s="490"/>
      <c r="E57"/>
      <c r="F57" t="s">
        <v>275</v>
      </c>
      <c r="G57" t="s">
        <v>277</v>
      </c>
      <c r="H57"/>
      <c r="I57" s="711"/>
    </row>
    <row r="58" spans="1:14" x14ac:dyDescent="0.35">
      <c r="A58" s="491" t="s">
        <v>467</v>
      </c>
      <c r="B58" s="491">
        <f>SUM(B59:B62)</f>
        <v>8358.4000000000015</v>
      </c>
      <c r="C58" s="492">
        <f>SUM(C59:C62)</f>
        <v>2089.6000000000004</v>
      </c>
      <c r="D58" s="492">
        <f>SUM(D59:D62)</f>
        <v>2089.6000000000004</v>
      </c>
      <c r="E58"/>
      <c r="F58"/>
      <c r="G58"/>
      <c r="H58"/>
      <c r="I58" s="492"/>
    </row>
    <row r="59" spans="1:14" ht="15.5" x14ac:dyDescent="0.35">
      <c r="A59" s="490" t="s">
        <v>288</v>
      </c>
      <c r="B59" s="490">
        <f>C59*4</f>
        <v>2998.8000000000006</v>
      </c>
      <c r="C59" s="490">
        <f>D59</f>
        <v>749.70000000000016</v>
      </c>
      <c r="D59" s="490">
        <f>466.8+25.9+9+9+43.7+8.6+22+58.1+8.2+45.2+45.2+2.9+5.1</f>
        <v>749.70000000000016</v>
      </c>
      <c r="E59"/>
      <c r="F59" t="s">
        <v>275</v>
      </c>
      <c r="G59" t="s">
        <v>277</v>
      </c>
      <c r="H59"/>
      <c r="I59" s="711" t="s">
        <v>526</v>
      </c>
    </row>
    <row r="60" spans="1:14" x14ac:dyDescent="0.35">
      <c r="A60" s="490" t="s">
        <v>280</v>
      </c>
      <c r="B60" s="490">
        <f>C60*4</f>
        <v>289.2</v>
      </c>
      <c r="C60" s="490">
        <f t="shared" ref="C60:C62" si="2">D60</f>
        <v>72.3</v>
      </c>
      <c r="D60" s="490">
        <f>15.9+16+17.8+17.5+5.1</f>
        <v>72.3</v>
      </c>
      <c r="E60"/>
      <c r="F60" t="s">
        <v>275</v>
      </c>
      <c r="G60" t="s">
        <v>277</v>
      </c>
      <c r="H60"/>
      <c r="I60" s="711" t="s">
        <v>524</v>
      </c>
    </row>
    <row r="61" spans="1:14" x14ac:dyDescent="0.35">
      <c r="A61" s="490" t="s">
        <v>289</v>
      </c>
      <c r="B61" s="490"/>
      <c r="C61" s="490"/>
      <c r="D61" s="490"/>
      <c r="E61"/>
      <c r="F61" t="s">
        <v>275</v>
      </c>
      <c r="G61" t="s">
        <v>277</v>
      </c>
      <c r="H61"/>
      <c r="I61" s="711"/>
    </row>
    <row r="62" spans="1:14" ht="29.5" x14ac:dyDescent="0.35">
      <c r="A62" s="702" t="s">
        <v>481</v>
      </c>
      <c r="B62" s="490">
        <f t="shared" ref="B62" si="3">C62*4</f>
        <v>5070.4000000000005</v>
      </c>
      <c r="C62" s="490">
        <f t="shared" si="2"/>
        <v>1267.6000000000001</v>
      </c>
      <c r="D62" s="490">
        <f>11.2+11.1+11.9+10.9+18.7+17.5+6+9.7+17.5+23.5+10.1+11.3+76.5+24+38.4+46+24.9+12.4+6.2+13.8+231+232+14.5+58.1+21+12.6+13.6+12+25.4+22.7+65.4+157.7</f>
        <v>1267.6000000000001</v>
      </c>
      <c r="E62"/>
      <c r="F62" t="s">
        <v>275</v>
      </c>
      <c r="G62" t="s">
        <v>277</v>
      </c>
      <c r="H62"/>
      <c r="I62" s="711" t="s">
        <v>525</v>
      </c>
    </row>
    <row r="63" spans="1:14" x14ac:dyDescent="0.35">
      <c r="A63" s="703"/>
      <c r="B63"/>
      <c r="C63"/>
      <c r="D63"/>
      <c r="E63"/>
      <c r="F63"/>
      <c r="G63"/>
      <c r="H63"/>
      <c r="I63" s="711"/>
    </row>
    <row r="64" spans="1:14" x14ac:dyDescent="0.35">
      <c r="A64" s="702" t="s">
        <v>586</v>
      </c>
      <c r="B64" s="501">
        <f>B50+B58</f>
        <v>89236.56</v>
      </c>
      <c r="C64" s="501">
        <f t="shared" ref="C64:D64" si="4">C50+C58</f>
        <v>8741.0000000000018</v>
      </c>
      <c r="D64" s="501">
        <f t="shared" si="4"/>
        <v>8741.0000000000018</v>
      </c>
      <c r="E64"/>
      <c r="F64" t="s">
        <v>290</v>
      </c>
      <c r="G64"/>
      <c r="H64">
        <f>SUM(C51,C53,C55:C57,C59:C62)</f>
        <v>8741.0000000000018</v>
      </c>
      <c r="I64" s="711"/>
    </row>
    <row r="65" spans="1:8" x14ac:dyDescent="0.35">
      <c r="A65"/>
      <c r="B65"/>
      <c r="C65"/>
      <c r="D65"/>
      <c r="E65"/>
      <c r="F65" t="s">
        <v>291</v>
      </c>
      <c r="G65"/>
      <c r="H65">
        <v>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H50"/>
  <sheetViews>
    <sheetView workbookViewId="0">
      <selection activeCell="E50" sqref="E50"/>
    </sheetView>
  </sheetViews>
  <sheetFormatPr defaultColWidth="9.1796875" defaultRowHeight="14.5" x14ac:dyDescent="0.35"/>
  <cols>
    <col min="1" max="1" width="27.7265625" style="365" customWidth="1"/>
    <col min="2" max="2" width="15.1796875" style="365" customWidth="1"/>
    <col min="3" max="3" width="14.7265625" style="365" customWidth="1"/>
    <col min="4" max="4" width="13.1796875" style="365" customWidth="1"/>
    <col min="5" max="5" width="13.26953125" style="365" customWidth="1"/>
    <col min="6" max="6" width="8.81640625" style="365" customWidth="1"/>
    <col min="7" max="7" width="12.453125" style="365" customWidth="1"/>
    <col min="8" max="8" width="14.26953125" style="365" customWidth="1"/>
    <col min="9" max="9" width="13.26953125" style="365" customWidth="1"/>
    <col min="10" max="10" width="17" style="365" customWidth="1"/>
    <col min="11" max="16384" width="9.1796875" style="365"/>
  </cols>
  <sheetData>
    <row r="1" spans="1:8" x14ac:dyDescent="0.35">
      <c r="A1" s="646" t="s">
        <v>438</v>
      </c>
      <c r="B1" s="646"/>
      <c r="C1" s="614"/>
      <c r="D1" s="614"/>
      <c r="E1" s="647"/>
      <c r="F1" s="612"/>
      <c r="G1" s="612"/>
      <c r="H1" s="614"/>
    </row>
    <row r="2" spans="1:8" x14ac:dyDescent="0.35">
      <c r="A2" s="614"/>
      <c r="B2" s="614"/>
      <c r="C2" s="614"/>
      <c r="D2" s="614"/>
      <c r="E2" s="613"/>
      <c r="F2" s="614"/>
      <c r="G2" s="614"/>
      <c r="H2" s="614"/>
    </row>
    <row r="3" spans="1:8" x14ac:dyDescent="0.35">
      <c r="A3" s="646" t="s">
        <v>439</v>
      </c>
      <c r="B3" s="646"/>
      <c r="C3" s="614"/>
      <c r="D3" s="612"/>
      <c r="E3" s="613"/>
      <c r="F3" s="614"/>
      <c r="G3" s="614"/>
      <c r="H3" s="614"/>
    </row>
    <row r="4" spans="1:8" x14ac:dyDescent="0.35">
      <c r="A4" s="648" t="s">
        <v>572</v>
      </c>
      <c r="B4" s="611" t="s">
        <v>573</v>
      </c>
      <c r="C4" s="611">
        <v>62.78</v>
      </c>
      <c r="D4" s="612"/>
      <c r="E4" s="613"/>
      <c r="F4" s="614"/>
      <c r="G4" s="614"/>
      <c r="H4" s="614"/>
    </row>
    <row r="5" spans="1:8" x14ac:dyDescent="0.35">
      <c r="A5" s="648" t="s">
        <v>440</v>
      </c>
      <c r="B5" s="611" t="s">
        <v>445</v>
      </c>
      <c r="C5" s="490">
        <f>0.115+0.115*0.3</f>
        <v>0.14950000000000002</v>
      </c>
      <c r="D5" s="615"/>
      <c r="E5" s="613"/>
      <c r="F5" s="614"/>
      <c r="G5" s="616"/>
      <c r="H5" s="614"/>
    </row>
    <row r="6" spans="1:8" x14ac:dyDescent="0.35">
      <c r="A6" s="648" t="s">
        <v>441</v>
      </c>
      <c r="B6" s="611" t="s">
        <v>444</v>
      </c>
      <c r="C6" s="611">
        <f>1.839</f>
        <v>1.839</v>
      </c>
      <c r="D6" s="612"/>
      <c r="E6" s="613"/>
      <c r="F6" s="614"/>
      <c r="G6" s="614"/>
      <c r="H6" s="614"/>
    </row>
    <row r="7" spans="1:8" x14ac:dyDescent="0.35">
      <c r="A7" s="648" t="s">
        <v>442</v>
      </c>
      <c r="B7" s="611" t="s">
        <v>444</v>
      </c>
      <c r="C7" s="611">
        <v>5</v>
      </c>
      <c r="D7" s="612"/>
      <c r="E7" s="613"/>
      <c r="F7" s="614"/>
      <c r="G7" s="614"/>
      <c r="H7" s="614"/>
    </row>
    <row r="8" spans="1:8" x14ac:dyDescent="0.35">
      <c r="A8" s="648" t="s">
        <v>443</v>
      </c>
      <c r="B8" s="611" t="s">
        <v>444</v>
      </c>
      <c r="C8" s="611">
        <v>1.4379999999999999</v>
      </c>
      <c r="D8" s="612"/>
      <c r="E8" s="613"/>
      <c r="F8" s="614"/>
      <c r="G8" s="614"/>
      <c r="H8" s="614"/>
    </row>
    <row r="9" spans="1:8" x14ac:dyDescent="0.35">
      <c r="A9" s="614"/>
      <c r="B9" s="614"/>
      <c r="C9" s="614"/>
      <c r="D9" s="614"/>
      <c r="E9" s="613"/>
      <c r="F9" s="614"/>
      <c r="G9" s="614"/>
      <c r="H9" s="614"/>
    </row>
    <row r="10" spans="1:8" x14ac:dyDescent="0.35">
      <c r="A10" s="646" t="s">
        <v>446</v>
      </c>
      <c r="B10" s="646"/>
      <c r="C10" s="614"/>
      <c r="D10" s="614"/>
      <c r="E10" s="613"/>
      <c r="F10" s="614"/>
      <c r="G10" s="614"/>
      <c r="H10" s="614"/>
    </row>
    <row r="11" spans="1:8" ht="29" x14ac:dyDescent="0.35">
      <c r="A11" s="648"/>
      <c r="B11" s="649" t="s">
        <v>2</v>
      </c>
      <c r="C11" s="617" t="s">
        <v>447</v>
      </c>
      <c r="D11" s="618" t="s">
        <v>448</v>
      </c>
      <c r="E11" s="613"/>
      <c r="F11" s="614"/>
      <c r="G11" s="614"/>
      <c r="H11" s="614"/>
    </row>
    <row r="12" spans="1:8" x14ac:dyDescent="0.35">
      <c r="A12" s="648" t="s">
        <v>572</v>
      </c>
      <c r="B12" s="650"/>
      <c r="C12" s="617"/>
      <c r="D12" s="618"/>
      <c r="E12" s="613"/>
      <c r="F12" s="614"/>
      <c r="G12" s="614"/>
      <c r="H12" s="614"/>
    </row>
    <row r="13" spans="1:8" x14ac:dyDescent="0.35">
      <c r="A13" s="645" t="s">
        <v>587</v>
      </c>
      <c r="B13" s="651" t="s">
        <v>574</v>
      </c>
      <c r="C13" s="621">
        <v>11.6</v>
      </c>
      <c r="D13" s="621">
        <f>C13</f>
        <v>11.6</v>
      </c>
      <c r="E13" s="613"/>
      <c r="F13" s="614"/>
      <c r="G13" s="620"/>
      <c r="H13" s="614"/>
    </row>
    <row r="14" spans="1:8" x14ac:dyDescent="0.35">
      <c r="A14" s="645"/>
      <c r="B14" s="651"/>
      <c r="C14" s="619"/>
      <c r="D14" s="619"/>
      <c r="E14" s="613"/>
      <c r="F14" s="614"/>
      <c r="G14" s="614"/>
      <c r="H14" s="614"/>
    </row>
    <row r="15" spans="1:8" x14ac:dyDescent="0.35">
      <c r="A15" s="648" t="s">
        <v>440</v>
      </c>
      <c r="B15" s="618"/>
      <c r="C15" s="611"/>
      <c r="D15" s="614"/>
      <c r="E15" s="613"/>
      <c r="F15" s="614"/>
      <c r="G15" s="614"/>
      <c r="H15" s="614"/>
    </row>
    <row r="16" spans="1:8" ht="14.25" customHeight="1" x14ac:dyDescent="0.35">
      <c r="A16" s="652" t="s">
        <v>587</v>
      </c>
      <c r="B16" s="651" t="s">
        <v>450</v>
      </c>
      <c r="C16" s="621">
        <v>10</v>
      </c>
      <c r="D16" s="614"/>
      <c r="E16" s="613"/>
      <c r="F16" s="614"/>
      <c r="G16" s="614"/>
      <c r="H16" s="614"/>
    </row>
    <row r="17" spans="1:8" ht="14.25" customHeight="1" x14ac:dyDescent="0.35">
      <c r="A17" s="652"/>
      <c r="B17" s="651"/>
      <c r="C17" s="621"/>
      <c r="D17" s="622"/>
      <c r="E17" s="613"/>
      <c r="F17" s="614"/>
      <c r="G17" s="614"/>
      <c r="H17" s="614"/>
    </row>
    <row r="18" spans="1:8" ht="14.25" customHeight="1" x14ac:dyDescent="0.35">
      <c r="A18" s="648" t="s">
        <v>414</v>
      </c>
      <c r="B18" s="618" t="s">
        <v>451</v>
      </c>
      <c r="C18" s="611">
        <f>50*21/1000</f>
        <v>1.05</v>
      </c>
      <c r="D18" s="614"/>
      <c r="E18" s="613"/>
      <c r="F18" s="614"/>
      <c r="G18" s="614"/>
      <c r="H18" s="614"/>
    </row>
    <row r="19" spans="1:8" ht="14.25" customHeight="1" x14ac:dyDescent="0.35">
      <c r="A19" s="645" t="s">
        <v>415</v>
      </c>
      <c r="B19" s="618" t="s">
        <v>451</v>
      </c>
      <c r="C19" s="611">
        <f>C18*0.6</f>
        <v>0.63</v>
      </c>
      <c r="D19" s="614"/>
      <c r="E19" s="613"/>
      <c r="F19" s="614"/>
      <c r="G19" s="614"/>
      <c r="H19" s="614"/>
    </row>
    <row r="20" spans="1:8" ht="14.25" customHeight="1" x14ac:dyDescent="0.35">
      <c r="A20" s="645" t="s">
        <v>416</v>
      </c>
      <c r="B20" s="618" t="s">
        <v>451</v>
      </c>
      <c r="C20" s="611">
        <f>C18*0.4</f>
        <v>0.42000000000000004</v>
      </c>
      <c r="D20" s="614"/>
      <c r="E20" s="613"/>
      <c r="F20" s="614"/>
      <c r="G20" s="623"/>
      <c r="H20" s="614"/>
    </row>
    <row r="21" spans="1:8" x14ac:dyDescent="0.35">
      <c r="A21" s="614"/>
      <c r="B21" s="614"/>
      <c r="C21" s="614"/>
      <c r="D21" s="614"/>
      <c r="E21" s="613"/>
      <c r="F21" s="614"/>
      <c r="G21" s="614"/>
      <c r="H21" s="614"/>
    </row>
    <row r="22" spans="1:8" ht="18.75" customHeight="1" x14ac:dyDescent="0.35">
      <c r="A22" s="646" t="s">
        <v>452</v>
      </c>
      <c r="B22" s="653"/>
      <c r="C22" s="624"/>
      <c r="D22" s="624"/>
      <c r="E22" s="625"/>
      <c r="F22" s="614"/>
      <c r="G22" s="614"/>
      <c r="H22" s="614"/>
    </row>
    <row r="23" spans="1:8" ht="18.75" customHeight="1" x14ac:dyDescent="0.35">
      <c r="A23" s="654" t="s">
        <v>294</v>
      </c>
      <c r="B23" s="853" t="s">
        <v>2</v>
      </c>
      <c r="C23" s="853" t="s">
        <v>360</v>
      </c>
      <c r="D23" s="853" t="s">
        <v>447</v>
      </c>
      <c r="E23" s="858" t="s">
        <v>453</v>
      </c>
      <c r="F23" s="853" t="s">
        <v>277</v>
      </c>
      <c r="G23" s="853" t="s">
        <v>281</v>
      </c>
      <c r="H23" s="614"/>
    </row>
    <row r="24" spans="1:8" x14ac:dyDescent="0.35">
      <c r="A24" s="655"/>
      <c r="B24" s="854"/>
      <c r="C24" s="854"/>
      <c r="D24" s="854"/>
      <c r="E24" s="859"/>
      <c r="F24" s="854"/>
      <c r="G24" s="854"/>
      <c r="H24" s="614"/>
    </row>
    <row r="25" spans="1:8" x14ac:dyDescent="0.35">
      <c r="A25" s="611" t="s">
        <v>588</v>
      </c>
      <c r="B25" s="656" t="s">
        <v>293</v>
      </c>
      <c r="C25" s="626">
        <f>Ruumid!C64</f>
        <v>8741.0000000000018</v>
      </c>
      <c r="D25" s="626">
        <f>Tulud25!N33</f>
        <v>1838.2000000000005</v>
      </c>
      <c r="E25" s="626">
        <f>Tulud25!O33</f>
        <v>5514.6000000000013</v>
      </c>
      <c r="F25" s="611"/>
      <c r="G25" s="626">
        <f>C25-D25-E25</f>
        <v>1388.1999999999998</v>
      </c>
      <c r="H25" s="614"/>
    </row>
    <row r="26" spans="1:8" x14ac:dyDescent="0.35">
      <c r="A26" s="611"/>
      <c r="B26" s="656"/>
      <c r="C26" s="627">
        <f>C25/$C$25</f>
        <v>1</v>
      </c>
      <c r="D26" s="627">
        <f>D25/$C$25</f>
        <v>0.21029630477062122</v>
      </c>
      <c r="E26" s="627">
        <f>E25/$C$25</f>
        <v>0.63088891431186367</v>
      </c>
      <c r="F26" s="611"/>
      <c r="G26" s="627">
        <f>G25/$C$25</f>
        <v>0.15881478091751511</v>
      </c>
      <c r="H26" s="614"/>
    </row>
    <row r="27" spans="1:8" hidden="1" x14ac:dyDescent="0.35">
      <c r="A27" s="611"/>
      <c r="B27" s="656"/>
      <c r="C27" s="628"/>
      <c r="D27" s="628"/>
      <c r="E27" s="628"/>
      <c r="F27" s="611"/>
      <c r="G27" s="626"/>
      <c r="H27" s="614"/>
    </row>
    <row r="28" spans="1:8" hidden="1" x14ac:dyDescent="0.35">
      <c r="A28" s="611"/>
      <c r="B28" s="656"/>
      <c r="C28" s="627"/>
      <c r="D28" s="627"/>
      <c r="E28" s="627"/>
      <c r="F28" s="627"/>
      <c r="G28" s="627"/>
      <c r="H28" s="614"/>
    </row>
    <row r="29" spans="1:8" x14ac:dyDescent="0.35">
      <c r="A29" s="614"/>
      <c r="B29" s="657"/>
      <c r="C29" s="658"/>
      <c r="D29" s="658"/>
      <c r="E29" s="658"/>
      <c r="F29" s="658"/>
      <c r="G29" s="658"/>
      <c r="H29" s="614"/>
    </row>
    <row r="30" spans="1:8" x14ac:dyDescent="0.35">
      <c r="A30" s="646" t="s">
        <v>482</v>
      </c>
      <c r="B30" s="657"/>
      <c r="C30" s="658"/>
      <c r="D30" s="658"/>
      <c r="E30" s="658"/>
      <c r="F30" s="658"/>
      <c r="G30" s="658"/>
      <c r="H30" s="614"/>
    </row>
    <row r="31" spans="1:8" ht="15" customHeight="1" x14ac:dyDescent="0.35">
      <c r="A31" s="654" t="s">
        <v>294</v>
      </c>
      <c r="B31" s="855" t="s">
        <v>2</v>
      </c>
      <c r="C31" s="857" t="s">
        <v>483</v>
      </c>
      <c r="D31" s="857"/>
      <c r="E31" s="857"/>
      <c r="F31" s="614"/>
      <c r="G31" s="614"/>
      <c r="H31" s="614"/>
    </row>
    <row r="32" spans="1:8" ht="43.5" x14ac:dyDescent="0.35">
      <c r="A32" s="655"/>
      <c r="B32" s="856"/>
      <c r="C32" s="659" t="s">
        <v>484</v>
      </c>
      <c r="D32" s="660" t="s">
        <v>485</v>
      </c>
      <c r="E32" s="659" t="s">
        <v>360</v>
      </c>
      <c r="F32" s="614"/>
      <c r="G32" s="614"/>
      <c r="H32" s="614"/>
    </row>
    <row r="33" spans="1:8" x14ac:dyDescent="0.35">
      <c r="A33" s="611" t="s">
        <v>588</v>
      </c>
      <c r="B33" s="661" t="s">
        <v>293</v>
      </c>
      <c r="C33" s="626">
        <f>Tulud25!N33</f>
        <v>1838.2000000000005</v>
      </c>
      <c r="D33" s="626">
        <f>Tulud25!O33</f>
        <v>5514.6000000000013</v>
      </c>
      <c r="E33" s="626">
        <f>SUM(C33:D33)</f>
        <v>7352.800000000002</v>
      </c>
      <c r="F33" s="614"/>
      <c r="G33" s="614"/>
      <c r="H33" s="614"/>
    </row>
    <row r="34" spans="1:8" x14ac:dyDescent="0.35">
      <c r="A34" s="611"/>
      <c r="B34" s="661"/>
      <c r="C34" s="627">
        <f>C33/E33</f>
        <v>0.25</v>
      </c>
      <c r="D34" s="627">
        <f>D33/E33</f>
        <v>0.75</v>
      </c>
      <c r="E34" s="627">
        <f>E33/E33</f>
        <v>1</v>
      </c>
      <c r="F34" s="614"/>
      <c r="G34" s="614"/>
      <c r="H34" s="614"/>
    </row>
    <row r="35" spans="1:8" hidden="1" x14ac:dyDescent="0.35">
      <c r="A35" s="611"/>
      <c r="B35" s="661"/>
      <c r="C35" s="628"/>
      <c r="D35" s="628"/>
      <c r="E35" s="626"/>
      <c r="F35" s="614"/>
      <c r="G35" s="614"/>
      <c r="H35" s="614"/>
    </row>
    <row r="36" spans="1:8" hidden="1" x14ac:dyDescent="0.35">
      <c r="A36" s="611"/>
      <c r="B36" s="661"/>
      <c r="C36" s="627"/>
      <c r="D36" s="627"/>
      <c r="E36" s="627"/>
      <c r="F36" s="614"/>
      <c r="G36" s="614"/>
      <c r="H36" s="614"/>
    </row>
    <row r="37" spans="1:8" x14ac:dyDescent="0.35">
      <c r="A37" s="611" t="s">
        <v>360</v>
      </c>
      <c r="B37" s="662" t="s">
        <v>293</v>
      </c>
      <c r="C37" s="663">
        <f>C33+C35</f>
        <v>1838.2000000000005</v>
      </c>
      <c r="D37" s="663">
        <f>D33+D35</f>
        <v>5514.6000000000013</v>
      </c>
      <c r="E37" s="663">
        <f>E33+E35</f>
        <v>7352.800000000002</v>
      </c>
      <c r="F37" s="614"/>
      <c r="G37" s="614"/>
      <c r="H37" s="614"/>
    </row>
    <row r="38" spans="1:8" x14ac:dyDescent="0.35">
      <c r="A38" s="611"/>
      <c r="B38" s="661"/>
      <c r="C38" s="627">
        <f>C37/E37</f>
        <v>0.25</v>
      </c>
      <c r="D38" s="627">
        <f>D37/E37</f>
        <v>0.75</v>
      </c>
      <c r="E38" s="627">
        <f>E37/E37</f>
        <v>1</v>
      </c>
      <c r="F38" s="614"/>
      <c r="G38" s="614"/>
      <c r="H38" s="614"/>
    </row>
    <row r="39" spans="1:8" x14ac:dyDescent="0.35">
      <c r="A39" s="614"/>
      <c r="B39" s="614"/>
      <c r="C39" s="614"/>
      <c r="D39" s="614"/>
      <c r="E39" s="613"/>
      <c r="F39" s="614"/>
      <c r="G39" s="614"/>
      <c r="H39" s="614"/>
    </row>
    <row r="40" spans="1:8" x14ac:dyDescent="0.35">
      <c r="A40" s="646" t="s">
        <v>454</v>
      </c>
      <c r="B40" s="614"/>
      <c r="C40" s="614"/>
      <c r="D40" s="614"/>
      <c r="E40" s="613"/>
      <c r="F40" s="614"/>
      <c r="G40" s="614" t="s">
        <v>459</v>
      </c>
      <c r="H40" s="614"/>
    </row>
    <row r="41" spans="1:8" ht="43.5" x14ac:dyDescent="0.35">
      <c r="A41" s="664" t="s">
        <v>294</v>
      </c>
      <c r="B41" s="659" t="str">
        <f>B23</f>
        <v>Ühik</v>
      </c>
      <c r="C41" s="659" t="s">
        <v>456</v>
      </c>
      <c r="D41" s="660" t="s">
        <v>457</v>
      </c>
      <c r="E41" s="660" t="s">
        <v>458</v>
      </c>
      <c r="F41" s="614"/>
      <c r="G41" s="659" t="s">
        <v>460</v>
      </c>
      <c r="H41" s="659" t="s">
        <v>461</v>
      </c>
    </row>
    <row r="42" spans="1:8" x14ac:dyDescent="0.35">
      <c r="A42" s="611" t="str">
        <f>A33</f>
        <v>Loometööstuse inkubaator stuudiotega</v>
      </c>
      <c r="B42" s="611" t="s">
        <v>455</v>
      </c>
      <c r="C42" s="665">
        <v>1</v>
      </c>
      <c r="D42" s="611">
        <f>C42*8</f>
        <v>8</v>
      </c>
      <c r="E42" s="626">
        <f>D42*250</f>
        <v>2000</v>
      </c>
      <c r="F42" s="614"/>
      <c r="G42" s="665">
        <v>8</v>
      </c>
      <c r="H42" s="611">
        <f>G42*250</f>
        <v>2000</v>
      </c>
    </row>
    <row r="43" spans="1:8" hidden="1" x14ac:dyDescent="0.35">
      <c r="A43" s="611"/>
      <c r="B43" s="611"/>
      <c r="C43" s="665"/>
      <c r="D43" s="611"/>
      <c r="E43" s="626"/>
      <c r="F43" s="614"/>
      <c r="G43" s="665"/>
      <c r="H43" s="611"/>
    </row>
    <row r="44" spans="1:8" x14ac:dyDescent="0.35">
      <c r="A44" s="614"/>
      <c r="B44" s="614"/>
      <c r="C44" s="614"/>
      <c r="D44" s="614"/>
      <c r="E44" s="613"/>
      <c r="F44" s="614"/>
      <c r="G44" s="614"/>
      <c r="H44" s="614"/>
    </row>
    <row r="45" spans="1:8" x14ac:dyDescent="0.35">
      <c r="A45" s="646" t="s">
        <v>462</v>
      </c>
      <c r="B45" s="614"/>
      <c r="C45" s="614"/>
      <c r="D45" s="614"/>
      <c r="E45" s="614"/>
      <c r="F45" s="614"/>
      <c r="G45" s="614"/>
      <c r="H45" s="614"/>
    </row>
    <row r="46" spans="1:8" ht="29" x14ac:dyDescent="0.35">
      <c r="A46" s="664" t="s">
        <v>294</v>
      </c>
      <c r="B46" s="659" t="s">
        <v>464</v>
      </c>
      <c r="C46" s="659" t="s">
        <v>463</v>
      </c>
      <c r="D46" s="614"/>
      <c r="E46" s="614"/>
      <c r="F46" s="614"/>
      <c r="G46" s="614"/>
      <c r="H46" s="614"/>
    </row>
    <row r="47" spans="1:8" x14ac:dyDescent="0.35">
      <c r="A47" s="611" t="str">
        <f>A42</f>
        <v>Loometööstuse inkubaator stuudiotega</v>
      </c>
      <c r="B47" s="611">
        <v>20</v>
      </c>
      <c r="C47" s="628">
        <f>C33/B47</f>
        <v>91.910000000000025</v>
      </c>
      <c r="D47" s="614"/>
      <c r="E47" s="614"/>
      <c r="F47" s="614"/>
      <c r="G47" s="614"/>
      <c r="H47" s="614"/>
    </row>
    <row r="48" spans="1:8" x14ac:dyDescent="0.35">
      <c r="A48" s="611"/>
      <c r="B48" s="611"/>
      <c r="C48" s="628"/>
      <c r="D48" s="614"/>
      <c r="E48" s="614"/>
      <c r="F48" s="614"/>
      <c r="G48" s="614"/>
      <c r="H48" s="614"/>
    </row>
    <row r="49" spans="1:8" x14ac:dyDescent="0.35">
      <c r="A49" s="611" t="s">
        <v>360</v>
      </c>
      <c r="B49" s="611"/>
      <c r="C49" s="628">
        <f>SUM(C47:C48)</f>
        <v>91.910000000000025</v>
      </c>
      <c r="D49" s="614"/>
      <c r="E49" s="614"/>
      <c r="F49" s="614"/>
      <c r="G49" s="614"/>
      <c r="H49" s="614"/>
    </row>
    <row r="50" spans="1:8" x14ac:dyDescent="0.35">
      <c r="E50" s="366"/>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S52"/>
  <sheetViews>
    <sheetView workbookViewId="0">
      <pane xSplit="3" ySplit="5" topLeftCell="D26" activePane="bottomRight" state="frozen"/>
      <selection pane="topRight" activeCell="D1" sqref="D1"/>
      <selection pane="bottomLeft" activeCell="A6" sqref="A6"/>
      <selection pane="bottomRight" activeCell="B29" sqref="B29"/>
    </sheetView>
  </sheetViews>
  <sheetFormatPr defaultColWidth="9.1796875" defaultRowHeight="14.5" outlineLevelCol="1" x14ac:dyDescent="0.35"/>
  <cols>
    <col min="1" max="1" width="33.54296875" style="365" customWidth="1"/>
    <col min="2" max="2" width="17.26953125" style="365" customWidth="1"/>
    <col min="3" max="3" width="15.54296875" style="365" customWidth="1"/>
    <col min="4" max="4" width="20" style="365" customWidth="1"/>
    <col min="5" max="5" width="10.453125" style="365" customWidth="1"/>
    <col min="6" max="6" width="15.453125" style="365" customWidth="1"/>
    <col min="7" max="7" width="12.26953125" style="365" customWidth="1"/>
    <col min="8" max="8" width="12.54296875" style="365" customWidth="1"/>
    <col min="9" max="9" width="11.7265625" style="365" customWidth="1"/>
    <col min="10" max="10" width="11.7265625" style="365" hidden="1" customWidth="1"/>
    <col min="11" max="11" width="9.1796875" style="365" hidden="1" customWidth="1"/>
    <col min="12" max="12" width="9.1796875" style="365" customWidth="1" outlineLevel="1"/>
    <col min="13" max="13" width="10.54296875" style="365" customWidth="1" outlineLevel="1"/>
    <col min="14" max="14" width="9.1796875" style="365" customWidth="1" outlineLevel="1"/>
    <col min="15" max="15" width="10.7265625" style="365" customWidth="1" outlineLevel="1"/>
    <col min="16" max="19" width="9.1796875" style="365" customWidth="1" outlineLevel="1"/>
    <col min="20" max="16384" width="9.1796875" style="365"/>
  </cols>
  <sheetData>
    <row r="1" spans="1:19" x14ac:dyDescent="0.35">
      <c r="A1" s="646" t="s">
        <v>38</v>
      </c>
      <c r="B1" s="614"/>
      <c r="C1" s="614"/>
      <c r="D1" s="614"/>
      <c r="E1" s="666"/>
      <c r="F1" s="614"/>
      <c r="G1" s="666"/>
      <c r="H1" s="666"/>
      <c r="I1" s="616"/>
      <c r="J1"/>
      <c r="K1"/>
      <c r="L1"/>
      <c r="M1"/>
      <c r="N1"/>
      <c r="O1"/>
      <c r="P1"/>
      <c r="Q1"/>
    </row>
    <row r="2" spans="1:19" x14ac:dyDescent="0.35">
      <c r="A2" s="614"/>
      <c r="B2" s="614"/>
      <c r="C2" s="614"/>
      <c r="D2" s="614"/>
      <c r="E2" s="614"/>
      <c r="F2" s="614"/>
      <c r="G2" s="614"/>
      <c r="H2" s="614"/>
      <c r="I2" s="614"/>
      <c r="J2"/>
      <c r="K2"/>
      <c r="L2"/>
      <c r="M2"/>
      <c r="N2"/>
      <c r="O2"/>
      <c r="P2"/>
      <c r="Q2"/>
    </row>
    <row r="3" spans="1:19" x14ac:dyDescent="0.35">
      <c r="A3" s="646" t="s">
        <v>412</v>
      </c>
      <c r="B3" s="614"/>
      <c r="C3" s="614"/>
      <c r="D3" s="614"/>
      <c r="E3" s="614"/>
      <c r="F3" s="614"/>
      <c r="G3" s="614"/>
      <c r="H3" s="614"/>
      <c r="I3" s="614"/>
      <c r="J3"/>
      <c r="K3"/>
      <c r="L3"/>
      <c r="M3"/>
      <c r="N3"/>
      <c r="O3"/>
      <c r="P3"/>
      <c r="Q3"/>
    </row>
    <row r="4" spans="1:19" x14ac:dyDescent="0.35">
      <c r="A4" s="614"/>
      <c r="B4" s="614"/>
      <c r="C4" s="614"/>
      <c r="D4" s="614"/>
      <c r="E4" s="614"/>
      <c r="F4" s="614"/>
      <c r="G4" s="614"/>
      <c r="H4" s="614"/>
      <c r="I4" s="614"/>
      <c r="J4"/>
      <c r="K4"/>
      <c r="L4"/>
      <c r="M4"/>
      <c r="N4"/>
      <c r="O4"/>
      <c r="P4"/>
      <c r="Q4"/>
    </row>
    <row r="5" spans="1:19" ht="43.5" customHeight="1" x14ac:dyDescent="0.35">
      <c r="A5" s="667" t="s">
        <v>294</v>
      </c>
      <c r="B5" s="667" t="s">
        <v>474</v>
      </c>
      <c r="C5" s="667" t="s">
        <v>475</v>
      </c>
      <c r="D5" s="667" t="s">
        <v>490</v>
      </c>
      <c r="E5" s="667" t="s">
        <v>0</v>
      </c>
      <c r="F5" s="668" t="s">
        <v>491</v>
      </c>
      <c r="G5" s="667" t="s">
        <v>492</v>
      </c>
      <c r="H5" s="667" t="s">
        <v>493</v>
      </c>
      <c r="I5" s="667" t="s">
        <v>494</v>
      </c>
      <c r="J5"/>
      <c r="K5"/>
      <c r="L5"/>
      <c r="M5" s="715" t="s">
        <v>531</v>
      </c>
      <c r="N5" s="715" t="s">
        <v>532</v>
      </c>
      <c r="O5" s="715" t="s">
        <v>533</v>
      </c>
      <c r="P5"/>
      <c r="Q5" s="715" t="s">
        <v>534</v>
      </c>
      <c r="R5" s="715" t="s">
        <v>535</v>
      </c>
      <c r="S5" s="715" t="s">
        <v>536</v>
      </c>
    </row>
    <row r="6" spans="1:19" hidden="1" x14ac:dyDescent="0.35">
      <c r="A6" s="669" t="s">
        <v>292</v>
      </c>
      <c r="B6" s="611"/>
      <c r="C6" s="611"/>
      <c r="D6" s="611"/>
      <c r="E6" s="611"/>
      <c r="F6" s="611"/>
      <c r="G6" s="611"/>
      <c r="H6" s="611"/>
      <c r="I6" s="611"/>
      <c r="J6"/>
      <c r="K6"/>
      <c r="L6"/>
      <c r="M6" s="490"/>
      <c r="N6" s="490"/>
      <c r="O6" s="490"/>
      <c r="P6"/>
      <c r="Q6" s="490"/>
      <c r="R6" s="708"/>
      <c r="S6" s="708"/>
    </row>
    <row r="7" spans="1:19" hidden="1" x14ac:dyDescent="0.35">
      <c r="A7" s="639"/>
      <c r="B7" s="641"/>
      <c r="C7" s="641"/>
      <c r="D7" s="670"/>
      <c r="E7" s="670"/>
      <c r="F7" s="670"/>
      <c r="G7" s="671"/>
      <c r="H7" s="671"/>
      <c r="I7" s="671"/>
      <c r="J7"/>
      <c r="K7"/>
      <c r="L7"/>
      <c r="M7" s="490"/>
      <c r="N7" s="490"/>
      <c r="O7" s="490"/>
      <c r="P7"/>
      <c r="Q7" s="490"/>
      <c r="R7" s="708"/>
      <c r="S7" s="708"/>
    </row>
    <row r="8" spans="1:19" hidden="1" x14ac:dyDescent="0.35">
      <c r="A8" s="611"/>
      <c r="B8" s="611"/>
      <c r="C8" s="611"/>
      <c r="D8" s="656"/>
      <c r="E8" s="611"/>
      <c r="F8" s="672"/>
      <c r="G8" s="626"/>
      <c r="H8" s="626"/>
      <c r="I8" s="627"/>
      <c r="J8"/>
      <c r="K8" t="s">
        <v>275</v>
      </c>
      <c r="L8"/>
      <c r="M8" s="490">
        <f>B8</f>
        <v>0</v>
      </c>
      <c r="N8" s="490">
        <f>B8*F8</f>
        <v>0</v>
      </c>
      <c r="O8" s="490">
        <f>M8-N8</f>
        <v>0</v>
      </c>
      <c r="P8"/>
      <c r="Q8" s="490"/>
      <c r="R8" s="708"/>
      <c r="S8" s="708"/>
    </row>
    <row r="9" spans="1:19" hidden="1" x14ac:dyDescent="0.35">
      <c r="A9" s="611"/>
      <c r="B9" s="611"/>
      <c r="C9" s="611"/>
      <c r="D9" s="656"/>
      <c r="E9" s="611"/>
      <c r="F9" s="627"/>
      <c r="G9" s="626"/>
      <c r="H9" s="626"/>
      <c r="I9" s="627"/>
      <c r="J9"/>
      <c r="K9" t="s">
        <v>277</v>
      </c>
      <c r="L9"/>
      <c r="M9" s="490">
        <f>B9</f>
        <v>0</v>
      </c>
      <c r="N9" s="490">
        <f>B9*F9</f>
        <v>0</v>
      </c>
      <c r="O9" s="490">
        <f>M9-N9</f>
        <v>0</v>
      </c>
      <c r="P9"/>
      <c r="Q9" s="490"/>
      <c r="R9" s="708"/>
      <c r="S9" s="708"/>
    </row>
    <row r="10" spans="1:19" hidden="1" x14ac:dyDescent="0.35">
      <c r="A10" s="639"/>
      <c r="B10" s="641"/>
      <c r="C10" s="641"/>
      <c r="D10" s="670"/>
      <c r="E10" s="670"/>
      <c r="F10" s="670"/>
      <c r="G10" s="671"/>
      <c r="H10" s="671"/>
      <c r="I10" s="671"/>
      <c r="J10"/>
      <c r="K10"/>
      <c r="L10"/>
      <c r="M10" s="490"/>
      <c r="N10" s="490"/>
      <c r="O10" s="490"/>
      <c r="P10"/>
      <c r="Q10" s="490"/>
      <c r="R10" s="708"/>
      <c r="S10" s="708"/>
    </row>
    <row r="11" spans="1:19" hidden="1" x14ac:dyDescent="0.35">
      <c r="A11" s="611"/>
      <c r="B11" s="611"/>
      <c r="C11" s="611"/>
      <c r="D11" s="656"/>
      <c r="E11" s="611"/>
      <c r="F11" s="672"/>
      <c r="G11" s="626"/>
      <c r="H11" s="626"/>
      <c r="I11" s="627"/>
      <c r="J11"/>
      <c r="K11" t="s">
        <v>275</v>
      </c>
      <c r="L11"/>
      <c r="M11" s="490">
        <f>B11</f>
        <v>0</v>
      </c>
      <c r="N11" s="490">
        <f>B11*F11</f>
        <v>0</v>
      </c>
      <c r="O11" s="490">
        <f>M11-N11</f>
        <v>0</v>
      </c>
      <c r="P11"/>
      <c r="Q11" s="490"/>
      <c r="R11" s="708"/>
      <c r="S11" s="708"/>
    </row>
    <row r="12" spans="1:19" hidden="1" x14ac:dyDescent="0.35">
      <c r="A12" s="639"/>
      <c r="B12" s="639"/>
      <c r="C12" s="641"/>
      <c r="D12" s="670"/>
      <c r="E12" s="670"/>
      <c r="F12" s="670"/>
      <c r="G12" s="671"/>
      <c r="H12" s="671"/>
      <c r="I12" s="671"/>
      <c r="J12"/>
      <c r="K12"/>
      <c r="L12"/>
      <c r="M12" s="490"/>
      <c r="N12" s="490"/>
      <c r="O12" s="490"/>
      <c r="P12"/>
      <c r="Q12" s="490"/>
      <c r="R12" s="708"/>
      <c r="S12" s="708"/>
    </row>
    <row r="13" spans="1:19" hidden="1" x14ac:dyDescent="0.35">
      <c r="A13" s="611"/>
      <c r="B13" s="611"/>
      <c r="C13" s="611"/>
      <c r="D13" s="656"/>
      <c r="E13" s="611"/>
      <c r="F13" s="672"/>
      <c r="G13" s="626"/>
      <c r="H13" s="626"/>
      <c r="I13" s="627"/>
      <c r="J13"/>
      <c r="K13" t="s">
        <v>277</v>
      </c>
      <c r="L13"/>
      <c r="M13" s="490">
        <f t="shared" ref="M13:M14" si="0">B13</f>
        <v>0</v>
      </c>
      <c r="N13" s="490">
        <f t="shared" ref="N13:N14" si="1">B13*F13</f>
        <v>0</v>
      </c>
      <c r="O13" s="490">
        <f t="shared" ref="O13:O14" si="2">M13-N13</f>
        <v>0</v>
      </c>
      <c r="P13"/>
      <c r="Q13" s="490"/>
      <c r="R13" s="708"/>
      <c r="S13" s="708"/>
    </row>
    <row r="14" spans="1:19" hidden="1" x14ac:dyDescent="0.35">
      <c r="A14" s="611"/>
      <c r="B14" s="611"/>
      <c r="C14" s="611"/>
      <c r="D14" s="611"/>
      <c r="E14" s="611"/>
      <c r="F14" s="672"/>
      <c r="G14" s="626"/>
      <c r="H14" s="626"/>
      <c r="I14" s="627"/>
      <c r="J14"/>
      <c r="K14" t="s">
        <v>277</v>
      </c>
      <c r="L14"/>
      <c r="M14" s="490">
        <f t="shared" si="0"/>
        <v>0</v>
      </c>
      <c r="N14" s="490">
        <f t="shared" si="1"/>
        <v>0</v>
      </c>
      <c r="O14" s="490">
        <f t="shared" si="2"/>
        <v>0</v>
      </c>
      <c r="P14"/>
      <c r="Q14" s="490"/>
      <c r="R14" s="708"/>
      <c r="S14" s="708"/>
    </row>
    <row r="15" spans="1:19" hidden="1" x14ac:dyDescent="0.35">
      <c r="A15" s="639"/>
      <c r="B15" s="641"/>
      <c r="C15" s="641"/>
      <c r="D15" s="670"/>
      <c r="E15" s="670"/>
      <c r="F15" s="670"/>
      <c r="G15" s="671"/>
      <c r="H15" s="671"/>
      <c r="I15" s="671"/>
      <c r="J15"/>
      <c r="K15"/>
      <c r="L15"/>
      <c r="M15" s="490"/>
      <c r="N15" s="490"/>
      <c r="O15" s="490"/>
      <c r="P15"/>
      <c r="Q15" s="490"/>
      <c r="R15" s="708"/>
      <c r="S15" s="708"/>
    </row>
    <row r="16" spans="1:19" hidden="1" x14ac:dyDescent="0.35">
      <c r="A16" s="611"/>
      <c r="B16" s="611"/>
      <c r="C16" s="611"/>
      <c r="D16" s="656"/>
      <c r="E16" s="611"/>
      <c r="F16" s="672"/>
      <c r="G16" s="626"/>
      <c r="H16" s="626"/>
      <c r="I16" s="627"/>
      <c r="J16"/>
      <c r="K16" t="s">
        <v>275</v>
      </c>
      <c r="L16"/>
      <c r="M16" s="490">
        <f t="shared" ref="M16:M17" si="3">B16</f>
        <v>0</v>
      </c>
      <c r="N16" s="490">
        <f>B16*F16</f>
        <v>0</v>
      </c>
      <c r="O16" s="490">
        <f t="shared" ref="O16:O17" si="4">M16-N16</f>
        <v>0</v>
      </c>
      <c r="P16"/>
      <c r="Q16" s="490"/>
      <c r="R16" s="708"/>
      <c r="S16" s="708"/>
    </row>
    <row r="17" spans="1:19" hidden="1" x14ac:dyDescent="0.35">
      <c r="A17" s="611"/>
      <c r="B17" s="611"/>
      <c r="C17" s="611"/>
      <c r="D17" s="656"/>
      <c r="E17" s="611"/>
      <c r="F17" s="672"/>
      <c r="G17" s="626"/>
      <c r="H17" s="626"/>
      <c r="I17" s="627"/>
      <c r="J17"/>
      <c r="K17" t="s">
        <v>275</v>
      </c>
      <c r="L17"/>
      <c r="M17" s="490">
        <f t="shared" si="3"/>
        <v>0</v>
      </c>
      <c r="N17" s="490">
        <f>B17*F17</f>
        <v>0</v>
      </c>
      <c r="O17" s="490">
        <f t="shared" si="4"/>
        <v>0</v>
      </c>
      <c r="P17"/>
      <c r="Q17" s="490"/>
      <c r="R17" s="708"/>
      <c r="S17" s="708"/>
    </row>
    <row r="18" spans="1:19" hidden="1" x14ac:dyDescent="0.35">
      <c r="A18" s="639"/>
      <c r="B18" s="641"/>
      <c r="C18" s="641"/>
      <c r="D18" s="670"/>
      <c r="E18" s="670"/>
      <c r="F18" s="670"/>
      <c r="G18" s="671"/>
      <c r="H18" s="671"/>
      <c r="I18" s="671"/>
      <c r="J18"/>
      <c r="K18"/>
      <c r="L18"/>
      <c r="M18" s="490"/>
      <c r="N18" s="490"/>
      <c r="O18" s="490"/>
      <c r="P18"/>
      <c r="Q18" s="490"/>
      <c r="R18" s="708"/>
      <c r="S18" s="708"/>
    </row>
    <row r="19" spans="1:19" hidden="1" x14ac:dyDescent="0.35">
      <c r="A19" s="611"/>
      <c r="B19" s="611"/>
      <c r="C19" s="611"/>
      <c r="D19" s="656"/>
      <c r="E19" s="611"/>
      <c r="F19" s="673"/>
      <c r="G19" s="626"/>
      <c r="H19" s="626"/>
      <c r="I19" s="627"/>
      <c r="J19" s="496"/>
      <c r="K19" t="s">
        <v>275</v>
      </c>
      <c r="L19"/>
      <c r="M19" s="490">
        <f t="shared" ref="M19:M20" si="5">B19</f>
        <v>0</v>
      </c>
      <c r="N19" s="490">
        <f>B19*F19</f>
        <v>0</v>
      </c>
      <c r="O19" s="490">
        <f t="shared" ref="O19:O20" si="6">M19-N19</f>
        <v>0</v>
      </c>
      <c r="P19"/>
      <c r="Q19" s="490"/>
      <c r="R19" s="708"/>
      <c r="S19" s="708"/>
    </row>
    <row r="20" spans="1:19" hidden="1" x14ac:dyDescent="0.35">
      <c r="A20" s="611"/>
      <c r="B20" s="611"/>
      <c r="C20" s="611"/>
      <c r="D20" s="656"/>
      <c r="E20" s="611"/>
      <c r="F20" s="673"/>
      <c r="G20" s="626"/>
      <c r="H20" s="626"/>
      <c r="I20" s="627"/>
      <c r="J20"/>
      <c r="K20" t="s">
        <v>275</v>
      </c>
      <c r="L20"/>
      <c r="M20" s="490">
        <f t="shared" si="5"/>
        <v>0</v>
      </c>
      <c r="N20" s="490">
        <f>B20*F20</f>
        <v>0</v>
      </c>
      <c r="O20" s="490">
        <f t="shared" si="6"/>
        <v>0</v>
      </c>
      <c r="P20"/>
      <c r="Q20" s="490"/>
      <c r="R20" s="708"/>
      <c r="S20" s="708"/>
    </row>
    <row r="21" spans="1:19" hidden="1" x14ac:dyDescent="0.35">
      <c r="A21" s="639"/>
      <c r="B21" s="639"/>
      <c r="C21" s="641"/>
      <c r="D21" s="670"/>
      <c r="E21" s="670"/>
      <c r="F21" s="670"/>
      <c r="G21" s="671"/>
      <c r="H21" s="671"/>
      <c r="I21" s="671"/>
      <c r="J21"/>
      <c r="K21"/>
      <c r="L21"/>
      <c r="M21" s="490"/>
      <c r="N21" s="490"/>
      <c r="O21" s="490"/>
      <c r="P21"/>
      <c r="Q21" s="490"/>
      <c r="R21" s="708"/>
      <c r="S21" s="708"/>
    </row>
    <row r="22" spans="1:19" hidden="1" x14ac:dyDescent="0.35">
      <c r="A22" s="611"/>
      <c r="B22" s="611"/>
      <c r="C22" s="611"/>
      <c r="D22" s="656"/>
      <c r="E22" s="611"/>
      <c r="F22" s="672"/>
      <c r="G22" s="626"/>
      <c r="H22" s="626"/>
      <c r="I22" s="627"/>
      <c r="J22"/>
      <c r="K22"/>
      <c r="L22"/>
      <c r="M22" s="490"/>
      <c r="N22" s="490"/>
      <c r="O22" s="490"/>
      <c r="P22"/>
      <c r="Q22" s="490"/>
      <c r="R22" s="708"/>
      <c r="S22" s="708"/>
    </row>
    <row r="23" spans="1:19" hidden="1" x14ac:dyDescent="0.35">
      <c r="A23" s="611"/>
      <c r="B23" s="611"/>
      <c r="C23" s="611"/>
      <c r="D23" s="656"/>
      <c r="E23" s="611"/>
      <c r="F23" s="674"/>
      <c r="G23" s="626"/>
      <c r="H23" s="626"/>
      <c r="I23" s="626"/>
      <c r="J23"/>
      <c r="K23"/>
      <c r="L23"/>
      <c r="M23" s="505">
        <f>SUM(M6:M22)</f>
        <v>0</v>
      </c>
      <c r="N23" s="505">
        <f>SUM(N6:N22)</f>
        <v>0</v>
      </c>
      <c r="O23" s="505">
        <f>SUM(O6:O22)</f>
        <v>0</v>
      </c>
      <c r="P23"/>
      <c r="Q23" s="490"/>
      <c r="R23" s="708"/>
      <c r="S23" s="708"/>
    </row>
    <row r="24" spans="1:19" ht="15" hidden="1" customHeight="1" x14ac:dyDescent="0.35">
      <c r="A24" s="669"/>
      <c r="B24" s="659"/>
      <c r="C24" s="659"/>
      <c r="D24" s="659"/>
      <c r="E24" s="659"/>
      <c r="F24" s="675"/>
      <c r="G24" s="676"/>
      <c r="H24" s="676"/>
      <c r="I24" s="676"/>
      <c r="J24"/>
      <c r="K24"/>
      <c r="L24"/>
      <c r="M24" s="490"/>
      <c r="N24" s="490"/>
      <c r="O24" s="490"/>
      <c r="P24"/>
      <c r="Q24" s="490"/>
      <c r="R24" s="708"/>
      <c r="S24" s="708"/>
    </row>
    <row r="25" spans="1:19" hidden="1" x14ac:dyDescent="0.35">
      <c r="A25" s="611"/>
      <c r="B25" s="611"/>
      <c r="C25" s="611"/>
      <c r="D25" s="611"/>
      <c r="E25" s="611"/>
      <c r="F25" s="611"/>
      <c r="G25" s="626"/>
      <c r="H25" s="626"/>
      <c r="I25" s="626"/>
      <c r="J25"/>
      <c r="K25"/>
      <c r="L25"/>
      <c r="M25" s="490"/>
      <c r="N25" s="490"/>
      <c r="O25" s="490"/>
      <c r="P25"/>
      <c r="Q25" s="490"/>
      <c r="R25" s="708"/>
      <c r="S25" s="708"/>
    </row>
    <row r="26" spans="1:19" x14ac:dyDescent="0.35">
      <c r="A26" s="639" t="str">
        <f>Ruumid!A50</f>
        <v>1 korrus</v>
      </c>
      <c r="B26" s="641">
        <f>Ruumid!C50</f>
        <v>6651.4000000000015</v>
      </c>
      <c r="C26" s="641">
        <f>Ruumid!D50</f>
        <v>6651.4000000000015</v>
      </c>
      <c r="D26" s="641"/>
      <c r="E26" s="670"/>
      <c r="F26" s="670"/>
      <c r="G26" s="671"/>
      <c r="H26" s="671"/>
      <c r="I26" s="671"/>
      <c r="J26"/>
      <c r="K26"/>
      <c r="L26"/>
      <c r="M26" s="490"/>
      <c r="N26" s="490"/>
      <c r="O26" s="490"/>
      <c r="P26"/>
      <c r="Q26" s="708"/>
      <c r="R26" s="716"/>
      <c r="S26" s="708"/>
    </row>
    <row r="27" spans="1:19" x14ac:dyDescent="0.35">
      <c r="A27" s="611" t="str">
        <f>Ruumid!A51</f>
        <v>Väike stuudio (stuudio 2) koos abiruumidega</v>
      </c>
      <c r="B27" s="611">
        <f>Ruumid!C51</f>
        <v>1953.6000000000004</v>
      </c>
      <c r="C27" s="611">
        <f>Ruumid!D51</f>
        <v>1953.6000000000004</v>
      </c>
      <c r="D27" s="611" t="s">
        <v>496</v>
      </c>
      <c r="E27" s="611">
        <v>500</v>
      </c>
      <c r="F27" s="673">
        <v>0.25</v>
      </c>
      <c r="G27" s="626">
        <f>21*E27*F27</f>
        <v>2625</v>
      </c>
      <c r="H27" s="626">
        <f t="shared" ref="H27:H29" si="7">G27*12</f>
        <v>31500</v>
      </c>
      <c r="I27" s="627">
        <f t="shared" ref="I27:I29" si="8">H27/$H$33</f>
        <v>0.22987096576455085</v>
      </c>
      <c r="J27"/>
      <c r="K27" t="s">
        <v>275</v>
      </c>
      <c r="L27"/>
      <c r="M27" s="490">
        <f t="shared" ref="M27:M29" si="9">B27</f>
        <v>1953.6000000000004</v>
      </c>
      <c r="N27" s="490">
        <f>B27*F27</f>
        <v>488.40000000000009</v>
      </c>
      <c r="O27" s="490">
        <f t="shared" ref="O27:O29" si="10">M27-N27</f>
        <v>1465.2000000000003</v>
      </c>
      <c r="P27"/>
      <c r="Q27" s="490">
        <f>21*12</f>
        <v>252</v>
      </c>
      <c r="R27" s="717">
        <f>$Q$27*F27</f>
        <v>63</v>
      </c>
      <c r="S27" s="708">
        <f>Q27-R27</f>
        <v>189</v>
      </c>
    </row>
    <row r="28" spans="1:19" x14ac:dyDescent="0.35">
      <c r="A28" s="611" t="str">
        <f>Ruumid!A53</f>
        <v>Suur stuudio (stuudio 1) koos abiruumidega</v>
      </c>
      <c r="B28" s="611">
        <f>Ruumid!C53</f>
        <v>2323.8000000000011</v>
      </c>
      <c r="C28" s="611">
        <f>Ruumid!D53</f>
        <v>2323.8000000000011</v>
      </c>
      <c r="D28" s="611" t="s">
        <v>496</v>
      </c>
      <c r="E28" s="611">
        <v>650</v>
      </c>
      <c r="F28" s="673">
        <v>0.25</v>
      </c>
      <c r="G28" s="626">
        <f>21*E28*F28</f>
        <v>3412.5</v>
      </c>
      <c r="H28" s="626">
        <f t="shared" si="7"/>
        <v>40950</v>
      </c>
      <c r="I28" s="627">
        <f t="shared" si="8"/>
        <v>0.29883225549391612</v>
      </c>
      <c r="J28"/>
      <c r="K28" t="s">
        <v>275</v>
      </c>
      <c r="L28"/>
      <c r="M28" s="490">
        <f t="shared" si="9"/>
        <v>2323.8000000000011</v>
      </c>
      <c r="N28" s="490">
        <f>B28*F28</f>
        <v>580.95000000000027</v>
      </c>
      <c r="O28" s="490">
        <f t="shared" si="10"/>
        <v>1742.8500000000008</v>
      </c>
      <c r="P28"/>
      <c r="Q28" s="708">
        <f>Q27</f>
        <v>252</v>
      </c>
      <c r="R28" s="717">
        <f>Q27*F28</f>
        <v>63</v>
      </c>
      <c r="S28" s="708">
        <f>Q28-R28</f>
        <v>189</v>
      </c>
    </row>
    <row r="29" spans="1:19" x14ac:dyDescent="0.35">
      <c r="A29" s="611" t="str">
        <f>Ruumid!A56</f>
        <v>Laod ja töökojad</v>
      </c>
      <c r="B29" s="611">
        <f>Ruumid!C56</f>
        <v>1807.8</v>
      </c>
      <c r="C29" s="611">
        <f>Ruumid!D56</f>
        <v>1807.8</v>
      </c>
      <c r="D29" s="611" t="s">
        <v>495</v>
      </c>
      <c r="E29" s="611">
        <v>7</v>
      </c>
      <c r="F29" s="672">
        <v>0.25</v>
      </c>
      <c r="G29" s="626">
        <f>C29*E29*F29</f>
        <v>3163.65</v>
      </c>
      <c r="H29" s="626">
        <f t="shared" si="7"/>
        <v>37963.800000000003</v>
      </c>
      <c r="I29" s="627">
        <f t="shared" si="8"/>
        <v>0.2770404879394367</v>
      </c>
      <c r="J29"/>
      <c r="K29" t="s">
        <v>275</v>
      </c>
      <c r="L29"/>
      <c r="M29" s="490">
        <f t="shared" si="9"/>
        <v>1807.8</v>
      </c>
      <c r="N29" s="717">
        <f>B29*F29</f>
        <v>451.95</v>
      </c>
      <c r="O29" s="490">
        <f t="shared" si="10"/>
        <v>1355.85</v>
      </c>
      <c r="P29"/>
      <c r="Q29" s="490"/>
      <c r="R29" s="708"/>
      <c r="S29" s="708"/>
    </row>
    <row r="30" spans="1:19" x14ac:dyDescent="0.35">
      <c r="A30" s="639" t="str">
        <f>Ruumid!A58</f>
        <v>2 korrus</v>
      </c>
      <c r="B30" s="641">
        <f>Ruumid!C58</f>
        <v>2089.6000000000004</v>
      </c>
      <c r="C30" s="641">
        <f>Ruumid!D58</f>
        <v>2089.6000000000004</v>
      </c>
      <c r="D30" s="641"/>
      <c r="E30" s="670"/>
      <c r="F30" s="670"/>
      <c r="G30" s="671"/>
      <c r="H30" s="671"/>
      <c r="I30" s="671"/>
      <c r="J30"/>
      <c r="K30"/>
      <c r="L30"/>
      <c r="M30" s="490"/>
      <c r="N30" s="490"/>
      <c r="O30" s="490"/>
      <c r="P30"/>
      <c r="Q30" s="490"/>
      <c r="R30" s="708"/>
      <c r="S30" s="708"/>
    </row>
    <row r="31" spans="1:19" x14ac:dyDescent="0.35">
      <c r="A31" s="651" t="str">
        <f>Ruumid!A62</f>
        <v>Muud üüriruumid (postproduction)</v>
      </c>
      <c r="B31" s="611">
        <f>Ruumid!C62</f>
        <v>1267.6000000000001</v>
      </c>
      <c r="C31" s="611">
        <f>Ruumid!D62</f>
        <v>1267.6000000000001</v>
      </c>
      <c r="D31" s="611" t="s">
        <v>495</v>
      </c>
      <c r="E31" s="611">
        <v>7</v>
      </c>
      <c r="F31" s="672">
        <v>0.25</v>
      </c>
      <c r="G31" s="626">
        <f t="shared" ref="G31" si="11">C31*E31*F31</f>
        <v>2218.3000000000002</v>
      </c>
      <c r="H31" s="626">
        <f>G31*12</f>
        <v>26619.600000000002</v>
      </c>
      <c r="I31" s="627">
        <f>H31/$H$33</f>
        <v>0.19425629080209644</v>
      </c>
      <c r="J31"/>
      <c r="K31" t="s">
        <v>275</v>
      </c>
      <c r="L31"/>
      <c r="M31" s="490">
        <f>B31</f>
        <v>1267.6000000000001</v>
      </c>
      <c r="N31" s="717">
        <f>B31*F31</f>
        <v>316.90000000000003</v>
      </c>
      <c r="O31" s="490">
        <f>M31-N31</f>
        <v>950.7</v>
      </c>
      <c r="P31"/>
      <c r="Q31" s="490"/>
      <c r="R31" s="708"/>
      <c r="S31" s="708"/>
    </row>
    <row r="32" spans="1:19" x14ac:dyDescent="0.35">
      <c r="A32" s="611"/>
      <c r="B32" s="611"/>
      <c r="C32" s="611"/>
      <c r="D32" s="611"/>
      <c r="E32" s="611"/>
      <c r="F32" s="611"/>
      <c r="G32" s="626"/>
      <c r="H32" s="626"/>
      <c r="I32" s="626"/>
      <c r="J32"/>
      <c r="K32"/>
      <c r="L32"/>
      <c r="M32" s="490"/>
      <c r="N32" s="490"/>
      <c r="O32" s="490"/>
      <c r="P32"/>
      <c r="Q32" s="490"/>
      <c r="R32" s="708"/>
      <c r="S32" s="708"/>
    </row>
    <row r="33" spans="1:19" x14ac:dyDescent="0.35">
      <c r="A33" s="677" t="s">
        <v>486</v>
      </c>
      <c r="B33" s="611"/>
      <c r="C33" s="611"/>
      <c r="D33" s="611"/>
      <c r="E33" s="611"/>
      <c r="F33" s="611"/>
      <c r="G33" s="678">
        <f>SUM(G7:G32)</f>
        <v>11419.45</v>
      </c>
      <c r="H33" s="678">
        <f>SUM(H7:H32)</f>
        <v>137033.4</v>
      </c>
      <c r="I33" s="678"/>
      <c r="J33"/>
      <c r="K33"/>
      <c r="L33"/>
      <c r="M33" s="505">
        <f>SUM(M27:M31)</f>
        <v>7352.800000000002</v>
      </c>
      <c r="N33" s="505">
        <f>SUM(N27:N31)</f>
        <v>1838.2000000000005</v>
      </c>
      <c r="O33" s="505">
        <f>SUM(O27:O31)</f>
        <v>5514.6000000000013</v>
      </c>
      <c r="P33"/>
      <c r="Q33" s="490"/>
      <c r="R33" s="708"/>
      <c r="S33" s="708"/>
    </row>
    <row r="34" spans="1:19" x14ac:dyDescent="0.35">
      <c r="A34" s="614"/>
      <c r="B34" s="614"/>
      <c r="C34" s="614"/>
      <c r="D34" s="614"/>
      <c r="E34" s="614"/>
      <c r="F34" s="614"/>
      <c r="G34" s="614"/>
      <c r="H34" s="614"/>
      <c r="I34" s="614"/>
      <c r="J34"/>
      <c r="K34"/>
      <c r="L34"/>
      <c r="M34"/>
      <c r="N34" s="494">
        <f>N33/M33</f>
        <v>0.25</v>
      </c>
      <c r="O34" s="494">
        <f>O33/M33</f>
        <v>0.75</v>
      </c>
      <c r="P34"/>
      <c r="Q34"/>
    </row>
    <row r="35" spans="1:19" x14ac:dyDescent="0.35">
      <c r="A35" s="646" t="s">
        <v>413</v>
      </c>
      <c r="B35" s="614"/>
      <c r="C35" s="614"/>
      <c r="D35" s="614"/>
      <c r="E35" s="614"/>
      <c r="F35" s="614"/>
      <c r="G35" s="614"/>
      <c r="H35" s="614"/>
      <c r="I35" s="614"/>
      <c r="J35"/>
      <c r="K35"/>
      <c r="L35"/>
      <c r="M35"/>
      <c r="N35"/>
      <c r="O35"/>
      <c r="P35"/>
      <c r="Q35"/>
    </row>
    <row r="36" spans="1:19" x14ac:dyDescent="0.35">
      <c r="A36" s="614"/>
      <c r="B36" s="614"/>
      <c r="C36" s="614"/>
      <c r="D36" s="614"/>
      <c r="E36" s="614"/>
      <c r="F36" s="614"/>
      <c r="G36" s="614"/>
      <c r="H36" s="614"/>
      <c r="I36" s="614"/>
      <c r="J36"/>
      <c r="K36"/>
      <c r="L36"/>
      <c r="M36"/>
      <c r="N36"/>
      <c r="O36"/>
      <c r="P36"/>
      <c r="Q36"/>
    </row>
    <row r="37" spans="1:19" hidden="1" x14ac:dyDescent="0.35">
      <c r="A37" s="614"/>
      <c r="B37" s="614"/>
      <c r="C37" s="614"/>
      <c r="D37" s="614"/>
      <c r="E37" s="614"/>
      <c r="F37" s="614"/>
      <c r="G37" s="614"/>
      <c r="H37" s="614"/>
      <c r="I37" s="614"/>
      <c r="J37"/>
      <c r="K37"/>
      <c r="L37"/>
      <c r="M37"/>
      <c r="N37"/>
      <c r="O37"/>
      <c r="P37"/>
      <c r="Q37"/>
    </row>
    <row r="38" spans="1:19" ht="29" x14ac:dyDescent="0.35">
      <c r="A38" s="679"/>
      <c r="B38" s="679"/>
      <c r="C38" s="679"/>
      <c r="D38" s="679"/>
      <c r="E38" s="679"/>
      <c r="F38" s="679"/>
      <c r="G38" s="680" t="s">
        <v>497</v>
      </c>
      <c r="H38" s="680" t="s">
        <v>498</v>
      </c>
      <c r="I38" s="680" t="s">
        <v>295</v>
      </c>
      <c r="J38" s="503"/>
      <c r="K38"/>
      <c r="L38"/>
      <c r="M38"/>
      <c r="N38"/>
      <c r="O38"/>
      <c r="P38"/>
      <c r="Q38"/>
    </row>
    <row r="39" spans="1:19" x14ac:dyDescent="0.35">
      <c r="A39" s="611" t="s">
        <v>299</v>
      </c>
      <c r="B39" s="611"/>
      <c r="C39" s="611"/>
      <c r="D39" s="611"/>
      <c r="E39" s="611"/>
      <c r="F39" s="611"/>
      <c r="G39" s="626">
        <f>H39/12</f>
        <v>1353.8822155600001</v>
      </c>
      <c r="H39" s="626">
        <f>Kulud25!F5</f>
        <v>16246.586586720001</v>
      </c>
      <c r="I39" s="627">
        <f>H39/$H$47</f>
        <v>0.45993835657067156</v>
      </c>
      <c r="J39" s="504"/>
      <c r="K39"/>
      <c r="L39"/>
      <c r="M39"/>
      <c r="N39"/>
      <c r="O39"/>
      <c r="P39"/>
      <c r="Q39"/>
    </row>
    <row r="40" spans="1:19" x14ac:dyDescent="0.35">
      <c r="A40" s="611" t="s">
        <v>487</v>
      </c>
      <c r="B40" s="611"/>
      <c r="C40" s="611"/>
      <c r="D40" s="611"/>
      <c r="E40" s="611"/>
      <c r="F40" s="611"/>
      <c r="G40" s="626">
        <f t="shared" ref="G40:G45" si="12">H40/12</f>
        <v>544.49145833333353</v>
      </c>
      <c r="H40" s="626">
        <f>Kulud25!F14</f>
        <v>6533.8975000000019</v>
      </c>
      <c r="I40" s="627">
        <f t="shared" ref="I40:I45" si="13">H40/$H$47</f>
        <v>0.18497362889800309</v>
      </c>
      <c r="J40" s="504"/>
      <c r="K40"/>
      <c r="L40"/>
      <c r="M40"/>
      <c r="N40"/>
      <c r="O40"/>
      <c r="P40"/>
      <c r="Q40"/>
    </row>
    <row r="41" spans="1:19" x14ac:dyDescent="0.35">
      <c r="A41" s="611" t="s">
        <v>414</v>
      </c>
      <c r="B41" s="611"/>
      <c r="C41" s="611"/>
      <c r="D41" s="611"/>
      <c r="E41" s="611"/>
      <c r="F41" s="611"/>
      <c r="G41" s="626">
        <f t="shared" si="12"/>
        <v>65.368000425000034</v>
      </c>
      <c r="H41" s="626">
        <f>Kulud25!F20</f>
        <v>784.41600510000035</v>
      </c>
      <c r="I41" s="627">
        <f t="shared" si="13"/>
        <v>2.2206695931336774E-2</v>
      </c>
      <c r="J41" s="504"/>
      <c r="K41"/>
      <c r="L41"/>
      <c r="M41"/>
      <c r="N41"/>
      <c r="O41"/>
      <c r="P41"/>
      <c r="Q41"/>
    </row>
    <row r="42" spans="1:19" x14ac:dyDescent="0.35">
      <c r="A42" s="611" t="s">
        <v>488</v>
      </c>
      <c r="B42" s="611"/>
      <c r="C42" s="611"/>
      <c r="D42" s="611"/>
      <c r="E42" s="611"/>
      <c r="F42" s="611"/>
      <c r="G42" s="626">
        <f t="shared" si="12"/>
        <v>187.5</v>
      </c>
      <c r="H42" s="626">
        <f>Kulud25!F43</f>
        <v>2250</v>
      </c>
      <c r="I42" s="627">
        <f t="shared" si="13"/>
        <v>6.3697152430154724E-2</v>
      </c>
      <c r="J42" s="504"/>
      <c r="K42"/>
      <c r="L42"/>
      <c r="M42"/>
      <c r="N42"/>
      <c r="O42"/>
      <c r="P42"/>
      <c r="Q42"/>
    </row>
    <row r="43" spans="1:19" x14ac:dyDescent="0.35">
      <c r="A43" s="611" t="s">
        <v>419</v>
      </c>
      <c r="B43" s="611"/>
      <c r="C43" s="611"/>
      <c r="D43" s="611"/>
      <c r="E43" s="611"/>
      <c r="F43" s="611"/>
      <c r="G43" s="626">
        <f t="shared" si="12"/>
        <v>467.375</v>
      </c>
      <c r="H43" s="626">
        <f>Kulud25!F48</f>
        <v>5608.5</v>
      </c>
      <c r="I43" s="627">
        <f t="shared" si="13"/>
        <v>0.15877576862423234</v>
      </c>
      <c r="J43" s="504"/>
      <c r="K43"/>
      <c r="L43"/>
      <c r="M43"/>
      <c r="N43"/>
      <c r="O43"/>
      <c r="P43"/>
      <c r="Q43"/>
    </row>
    <row r="44" spans="1:19" x14ac:dyDescent="0.35">
      <c r="A44" s="611" t="s">
        <v>420</v>
      </c>
      <c r="B44" s="611"/>
      <c r="C44" s="611"/>
      <c r="D44" s="611"/>
      <c r="E44" s="611"/>
      <c r="F44" s="611"/>
      <c r="G44" s="626">
        <f t="shared" si="12"/>
        <v>250</v>
      </c>
      <c r="H44" s="626">
        <f>Kulud25!F54</f>
        <v>3000</v>
      </c>
      <c r="I44" s="627">
        <f t="shared" si="13"/>
        <v>8.4929536573539632E-2</v>
      </c>
      <c r="J44" s="504"/>
      <c r="K44"/>
      <c r="L44"/>
      <c r="M44"/>
      <c r="N44"/>
      <c r="O44"/>
      <c r="P44"/>
      <c r="Q44"/>
    </row>
    <row r="45" spans="1:19" x14ac:dyDescent="0.35">
      <c r="A45" s="626" t="s">
        <v>422</v>
      </c>
      <c r="B45" s="611"/>
      <c r="C45" s="611"/>
      <c r="D45" s="611"/>
      <c r="E45" s="611"/>
      <c r="F45" s="611"/>
      <c r="G45" s="626">
        <f t="shared" si="12"/>
        <v>75</v>
      </c>
      <c r="H45" s="626">
        <f>Kulud25!F56</f>
        <v>900</v>
      </c>
      <c r="I45" s="627">
        <f t="shared" si="13"/>
        <v>2.5478860972061888E-2</v>
      </c>
      <c r="J45" s="504"/>
      <c r="K45"/>
      <c r="L45"/>
      <c r="M45"/>
      <c r="N45"/>
      <c r="O45"/>
      <c r="P45"/>
      <c r="Q45"/>
    </row>
    <row r="46" spans="1:19" x14ac:dyDescent="0.35">
      <c r="A46" s="611"/>
      <c r="B46" s="611"/>
      <c r="C46" s="611"/>
      <c r="D46" s="611"/>
      <c r="E46" s="611"/>
      <c r="F46" s="611"/>
      <c r="G46" s="626"/>
      <c r="H46" s="626"/>
      <c r="I46" s="627"/>
      <c r="J46" s="504"/>
      <c r="K46"/>
      <c r="L46"/>
      <c r="M46"/>
      <c r="N46"/>
      <c r="O46"/>
      <c r="P46"/>
      <c r="Q46"/>
    </row>
    <row r="47" spans="1:19" x14ac:dyDescent="0.35">
      <c r="A47" s="677" t="s">
        <v>489</v>
      </c>
      <c r="B47" s="611"/>
      <c r="C47" s="611"/>
      <c r="D47" s="611"/>
      <c r="E47" s="611"/>
      <c r="F47" s="611"/>
      <c r="G47" s="678">
        <f>SUM(G39:G46)</f>
        <v>2943.6166743183335</v>
      </c>
      <c r="H47" s="678">
        <f>SUM(H39:H46)</f>
        <v>35323.400091820004</v>
      </c>
      <c r="I47" s="681">
        <f>SUM(I39:I46)</f>
        <v>1</v>
      </c>
      <c r="J47" s="506"/>
      <c r="K47"/>
      <c r="L47"/>
      <c r="M47"/>
      <c r="N47"/>
      <c r="O47"/>
      <c r="P47"/>
      <c r="Q47"/>
    </row>
    <row r="48" spans="1:19" hidden="1" x14ac:dyDescent="0.35">
      <c r="A48"/>
      <c r="B48"/>
      <c r="C48"/>
      <c r="D48"/>
      <c r="E48"/>
      <c r="F48"/>
      <c r="G48"/>
      <c r="H48"/>
      <c r="I48"/>
      <c r="J48"/>
      <c r="K48"/>
      <c r="L48"/>
      <c r="M48"/>
      <c r="N48"/>
      <c r="O48"/>
      <c r="P48"/>
      <c r="Q48"/>
    </row>
    <row r="49" spans="1:17" hidden="1" x14ac:dyDescent="0.35">
      <c r="A49" s="629" t="s">
        <v>71</v>
      </c>
      <c r="B49" s="507"/>
      <c r="C49" s="507"/>
      <c r="D49" s="507"/>
      <c r="E49" s="507"/>
      <c r="F49" s="507"/>
      <c r="G49" s="508">
        <f>F36+G47</f>
        <v>2943.6166743183335</v>
      </c>
      <c r="H49" s="508">
        <f>G36+H47</f>
        <v>35323.400091820004</v>
      </c>
      <c r="I49" s="509"/>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s="502"/>
      <c r="I52"/>
      <c r="J52"/>
      <c r="K52"/>
      <c r="L52"/>
      <c r="M52"/>
      <c r="N52"/>
      <c r="O52"/>
      <c r="P52"/>
      <c r="Q52"/>
    </row>
  </sheetData>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R77"/>
  <sheetViews>
    <sheetView workbookViewId="0">
      <pane xSplit="4" ySplit="2" topLeftCell="E3" activePane="bottomRight" state="frozen"/>
      <selection pane="topRight" activeCell="E1" sqref="E1"/>
      <selection pane="bottomLeft" activeCell="A3" sqref="A3"/>
      <selection pane="bottomRight" activeCell="A69" sqref="A69"/>
    </sheetView>
  </sheetViews>
  <sheetFormatPr defaultColWidth="9.1796875" defaultRowHeight="14.5" outlineLevelRow="1" outlineLevelCol="1" x14ac:dyDescent="0.35"/>
  <cols>
    <col min="1" max="1" width="32.81640625" style="365" customWidth="1"/>
    <col min="2" max="2" width="15.1796875" style="365" customWidth="1" outlineLevel="1"/>
    <col min="3" max="3" width="9.26953125" style="365" customWidth="1" outlineLevel="1"/>
    <col min="4" max="5" width="14.1796875" style="365" customWidth="1"/>
    <col min="6" max="6" width="14.81640625" style="365" hidden="1" customWidth="1" outlineLevel="1"/>
    <col min="7" max="7" width="17.453125" style="365" hidden="1" customWidth="1" outlineLevel="1"/>
    <col min="8" max="8" width="16.1796875" style="365" hidden="1" customWidth="1" outlineLevel="1"/>
    <col min="9" max="9" width="11.81640625" style="365" hidden="1" customWidth="1" outlineLevel="1"/>
    <col min="10" max="10" width="18.26953125" style="365" customWidth="1" collapsed="1"/>
    <col min="11" max="11" width="17" style="365" customWidth="1"/>
    <col min="12" max="16384" width="9.1796875" style="365"/>
  </cols>
  <sheetData>
    <row r="1" spans="1:18" x14ac:dyDescent="0.35">
      <c r="A1" s="682" t="s">
        <v>14</v>
      </c>
      <c r="B1" s="614"/>
      <c r="C1" s="614"/>
      <c r="D1" s="666"/>
      <c r="E1" s="666"/>
      <c r="F1" s="502"/>
      <c r="G1" s="496">
        <f>'5. Abikõlblik kulu'!D13</f>
        <v>0</v>
      </c>
      <c r="H1"/>
      <c r="I1"/>
      <c r="J1"/>
      <c r="K1"/>
      <c r="L1"/>
      <c r="M1"/>
      <c r="N1"/>
      <c r="O1"/>
      <c r="P1"/>
      <c r="Q1"/>
      <c r="R1"/>
    </row>
    <row r="2" spans="1:18" ht="43.5" x14ac:dyDescent="0.35">
      <c r="A2" s="611"/>
      <c r="B2" s="683"/>
      <c r="C2" s="617"/>
      <c r="D2" s="659" t="s">
        <v>499</v>
      </c>
      <c r="E2" s="659" t="s">
        <v>500</v>
      </c>
      <c r="F2" s="489" t="s">
        <v>297</v>
      </c>
      <c r="G2" s="489" t="s">
        <v>298</v>
      </c>
      <c r="H2"/>
      <c r="I2"/>
      <c r="J2"/>
      <c r="K2"/>
      <c r="L2"/>
      <c r="M2"/>
      <c r="N2"/>
      <c r="O2"/>
      <c r="P2"/>
      <c r="Q2"/>
      <c r="R2"/>
    </row>
    <row r="3" spans="1:18" x14ac:dyDescent="0.35">
      <c r="A3" s="684" t="s">
        <v>367</v>
      </c>
      <c r="B3" s="651"/>
      <c r="C3" s="685"/>
      <c r="D3" s="685"/>
      <c r="E3" s="685"/>
      <c r="F3" s="490"/>
      <c r="G3" s="490"/>
      <c r="H3"/>
      <c r="I3"/>
      <c r="J3"/>
      <c r="K3"/>
      <c r="L3"/>
      <c r="M3"/>
      <c r="N3"/>
      <c r="O3"/>
      <c r="P3"/>
      <c r="Q3"/>
      <c r="R3"/>
    </row>
    <row r="4" spans="1:18" x14ac:dyDescent="0.35">
      <c r="A4" s="651" t="s">
        <v>427</v>
      </c>
      <c r="B4" s="651"/>
      <c r="C4" s="685"/>
      <c r="D4" s="685">
        <f>E4/12</f>
        <v>6221.4923222733332</v>
      </c>
      <c r="E4" s="685">
        <f>E20+E14+E5</f>
        <v>74657.907867279995</v>
      </c>
      <c r="F4" s="510">
        <f t="shared" ref="F4:G4" si="0">F20+F14+F5</f>
        <v>23564.900091820004</v>
      </c>
      <c r="G4" s="510">
        <f t="shared" si="0"/>
        <v>51093.007775459984</v>
      </c>
      <c r="H4" s="511">
        <f t="shared" ref="H4:H11" si="1">G4/$G$62</f>
        <v>0.17446164801581551</v>
      </c>
      <c r="I4"/>
      <c r="J4"/>
      <c r="K4"/>
      <c r="L4"/>
      <c r="M4"/>
      <c r="N4"/>
      <c r="O4"/>
      <c r="P4"/>
      <c r="Q4"/>
      <c r="R4"/>
    </row>
    <row r="5" spans="1:18" x14ac:dyDescent="0.35">
      <c r="A5" s="650" t="s">
        <v>299</v>
      </c>
      <c r="B5" s="686" t="s">
        <v>575</v>
      </c>
      <c r="C5" s="685">
        <f>C6+C9</f>
        <v>1035.144096</v>
      </c>
      <c r="D5" s="687"/>
      <c r="E5" s="685">
        <f>E6+E9</f>
        <v>64986.346346879989</v>
      </c>
      <c r="F5" s="512">
        <f>F6+F9</f>
        <v>16246.586586720001</v>
      </c>
      <c r="G5" s="512">
        <f>E5-F5</f>
        <v>48739.759760159985</v>
      </c>
      <c r="H5" s="511">
        <f t="shared" si="1"/>
        <v>0.1664262720453217</v>
      </c>
      <c r="I5"/>
      <c r="J5"/>
      <c r="K5"/>
      <c r="L5"/>
      <c r="M5"/>
      <c r="N5"/>
      <c r="O5"/>
      <c r="P5"/>
      <c r="Q5"/>
      <c r="R5"/>
    </row>
    <row r="6" spans="1:18" hidden="1" outlineLevel="1" x14ac:dyDescent="0.35">
      <c r="A6" s="688" t="s">
        <v>449</v>
      </c>
      <c r="B6" s="686" t="s">
        <v>575</v>
      </c>
      <c r="C6" s="689">
        <f>SUM(C7:C8)</f>
        <v>1035.144096</v>
      </c>
      <c r="D6" s="687"/>
      <c r="E6" s="689">
        <f>SUM(E7:E8)</f>
        <v>64986.346346879989</v>
      </c>
      <c r="F6" s="513">
        <f>SUM(F7:F8)</f>
        <v>16246.586586720001</v>
      </c>
      <c r="G6" s="513">
        <f>E6-F6</f>
        <v>48739.759760159985</v>
      </c>
      <c r="H6" s="511">
        <f t="shared" si="1"/>
        <v>0.1664262720453217</v>
      </c>
      <c r="I6"/>
      <c r="J6"/>
      <c r="K6"/>
      <c r="L6"/>
      <c r="M6"/>
      <c r="N6"/>
      <c r="O6"/>
      <c r="P6"/>
      <c r="Q6"/>
      <c r="R6"/>
    </row>
    <row r="7" spans="1:18" hidden="1" outlineLevel="1" x14ac:dyDescent="0.35">
      <c r="A7" s="690" t="s">
        <v>502</v>
      </c>
      <c r="B7" s="686" t="s">
        <v>575</v>
      </c>
      <c r="C7" s="689">
        <f>Eeldused25!C13*(Eeldused25!C34*Ruumid!B64)/1000</f>
        <v>258.786024</v>
      </c>
      <c r="D7" s="691"/>
      <c r="E7" s="689">
        <f>C7*Eeldused25!$C$4</f>
        <v>16246.586586720001</v>
      </c>
      <c r="F7" s="513">
        <f>E7</f>
        <v>16246.586586720001</v>
      </c>
      <c r="G7" s="513">
        <f>E7-F7</f>
        <v>0</v>
      </c>
      <c r="H7" s="511">
        <f t="shared" si="1"/>
        <v>0</v>
      </c>
      <c r="I7"/>
      <c r="J7"/>
      <c r="K7"/>
      <c r="L7"/>
      <c r="M7"/>
      <c r="N7"/>
      <c r="O7"/>
      <c r="P7"/>
      <c r="Q7"/>
      <c r="R7"/>
    </row>
    <row r="8" spans="1:18" hidden="1" outlineLevel="1" x14ac:dyDescent="0.35">
      <c r="A8" s="692" t="s">
        <v>503</v>
      </c>
      <c r="B8" s="686" t="s">
        <v>575</v>
      </c>
      <c r="C8" s="689">
        <f>Eeldused25!D13*(Eeldused25!D34*Ruumid!B64)/1000</f>
        <v>776.35807199999988</v>
      </c>
      <c r="D8" s="691"/>
      <c r="E8" s="689">
        <f>C8*Eeldused25!$C$4</f>
        <v>48739.759760159992</v>
      </c>
      <c r="F8" s="513"/>
      <c r="G8" s="513">
        <f>E8-F8</f>
        <v>48739.759760159992</v>
      </c>
      <c r="H8" s="511">
        <f t="shared" si="1"/>
        <v>0.16642627204532173</v>
      </c>
      <c r="I8"/>
      <c r="J8"/>
      <c r="K8"/>
      <c r="L8"/>
      <c r="M8"/>
      <c r="N8"/>
      <c r="O8"/>
      <c r="P8"/>
      <c r="Q8"/>
      <c r="R8"/>
    </row>
    <row r="9" spans="1:18" hidden="1" outlineLevel="1" x14ac:dyDescent="0.35">
      <c r="A9" s="688" t="s">
        <v>292</v>
      </c>
      <c r="B9" s="686" t="s">
        <v>575</v>
      </c>
      <c r="C9" s="689">
        <f>SUM(C10:C13)</f>
        <v>0</v>
      </c>
      <c r="D9" s="691"/>
      <c r="E9" s="689">
        <f>SUM(E10:E13)</f>
        <v>0</v>
      </c>
      <c r="F9" s="513">
        <f>SUM(F10:F13)</f>
        <v>0</v>
      </c>
      <c r="G9" s="513">
        <f>SUM(G10:G13)</f>
        <v>0</v>
      </c>
      <c r="H9" s="511">
        <f t="shared" si="1"/>
        <v>0</v>
      </c>
      <c r="I9"/>
      <c r="J9"/>
      <c r="K9"/>
      <c r="L9"/>
      <c r="M9"/>
      <c r="N9"/>
      <c r="O9"/>
      <c r="P9"/>
      <c r="Q9"/>
      <c r="R9"/>
    </row>
    <row r="10" spans="1:18" hidden="1" outlineLevel="1" x14ac:dyDescent="0.35">
      <c r="A10" s="690" t="s">
        <v>502</v>
      </c>
      <c r="B10" s="686" t="s">
        <v>575</v>
      </c>
      <c r="C10" s="689">
        <f>Eeldused25!C14*(Eeldused25!C36*Ruumid!B36)</f>
        <v>0</v>
      </c>
      <c r="D10" s="691"/>
      <c r="E10" s="689">
        <f>C10*Eeldused25!$C$4</f>
        <v>0</v>
      </c>
      <c r="F10" s="513">
        <f>E10</f>
        <v>0</v>
      </c>
      <c r="G10" s="513">
        <f>E10-F10</f>
        <v>0</v>
      </c>
      <c r="H10" s="511">
        <f t="shared" si="1"/>
        <v>0</v>
      </c>
      <c r="I10"/>
      <c r="J10"/>
      <c r="K10"/>
      <c r="L10"/>
      <c r="M10"/>
      <c r="N10"/>
      <c r="O10"/>
      <c r="P10"/>
      <c r="Q10"/>
      <c r="R10"/>
    </row>
    <row r="11" spans="1:18" ht="17.25" hidden="1" customHeight="1" outlineLevel="1" x14ac:dyDescent="0.35">
      <c r="A11" s="692" t="s">
        <v>503</v>
      </c>
      <c r="B11" s="686" t="s">
        <v>575</v>
      </c>
      <c r="C11" s="689">
        <f>Eeldused25!D14*(Eeldused25!D36*Ruumid!B36)</f>
        <v>0</v>
      </c>
      <c r="D11" s="691"/>
      <c r="E11" s="689">
        <f>C11*Eeldused25!$C$4</f>
        <v>0</v>
      </c>
      <c r="F11" s="513"/>
      <c r="G11" s="513">
        <f>E11</f>
        <v>0</v>
      </c>
      <c r="H11" s="511">
        <f t="shared" si="1"/>
        <v>0</v>
      </c>
      <c r="I11"/>
      <c r="J11"/>
      <c r="K11"/>
      <c r="L11"/>
      <c r="M11"/>
      <c r="N11"/>
      <c r="O11"/>
      <c r="P11"/>
      <c r="Q11"/>
      <c r="R11"/>
    </row>
    <row r="12" spans="1:18" ht="14.25" hidden="1" customHeight="1" outlineLevel="1" x14ac:dyDescent="0.35">
      <c r="A12" s="690"/>
      <c r="B12" s="686"/>
      <c r="C12" s="689"/>
      <c r="D12" s="691"/>
      <c r="E12" s="689"/>
      <c r="F12" s="514"/>
      <c r="G12" s="515"/>
      <c r="H12" s="511"/>
      <c r="I12"/>
      <c r="J12"/>
      <c r="K12"/>
      <c r="L12"/>
      <c r="M12"/>
      <c r="N12"/>
      <c r="O12"/>
      <c r="P12"/>
      <c r="Q12"/>
      <c r="R12"/>
    </row>
    <row r="13" spans="1:18" hidden="1" outlineLevel="1" x14ac:dyDescent="0.35">
      <c r="A13" s="690"/>
      <c r="B13" s="686"/>
      <c r="C13" s="689"/>
      <c r="D13" s="691"/>
      <c r="E13" s="689"/>
      <c r="F13" s="514"/>
      <c r="G13" s="515"/>
      <c r="H13" s="511"/>
      <c r="I13"/>
      <c r="J13"/>
      <c r="K13"/>
      <c r="L13"/>
      <c r="M13"/>
      <c r="N13"/>
      <c r="O13"/>
      <c r="P13"/>
      <c r="Q13"/>
      <c r="R13"/>
    </row>
    <row r="14" spans="1:18" collapsed="1" x14ac:dyDescent="0.35">
      <c r="A14" s="650" t="s">
        <v>300</v>
      </c>
      <c r="B14" s="686" t="s">
        <v>504</v>
      </c>
      <c r="C14" s="685">
        <f>C15+C17</f>
        <v>43705.000000000007</v>
      </c>
      <c r="D14" s="687"/>
      <c r="E14" s="685">
        <f>E15+E17</f>
        <v>6533.8975000000019</v>
      </c>
      <c r="F14" s="512">
        <f>F15+F17</f>
        <v>6533.8975000000019</v>
      </c>
      <c r="G14" s="512">
        <f>G15+G17</f>
        <v>0</v>
      </c>
      <c r="H14" s="516">
        <f t="shared" ref="H14:H39" si="2">G14/$G$62</f>
        <v>0</v>
      </c>
      <c r="I14"/>
      <c r="J14"/>
      <c r="K14"/>
      <c r="L14"/>
      <c r="M14"/>
      <c r="N14"/>
      <c r="O14"/>
      <c r="P14"/>
      <c r="Q14"/>
      <c r="R14"/>
    </row>
    <row r="15" spans="1:18" hidden="1" outlineLevel="1" x14ac:dyDescent="0.35">
      <c r="A15" s="688" t="str">
        <f>A6</f>
        <v>Stuudio</v>
      </c>
      <c r="B15" s="686" t="s">
        <v>505</v>
      </c>
      <c r="C15" s="689">
        <f>C16</f>
        <v>43705.000000000007</v>
      </c>
      <c r="D15" s="691"/>
      <c r="E15" s="689">
        <f>E16</f>
        <v>6533.8975000000019</v>
      </c>
      <c r="F15" s="513">
        <f>F16</f>
        <v>6533.8975000000019</v>
      </c>
      <c r="G15" s="513">
        <f>G16</f>
        <v>0</v>
      </c>
      <c r="H15" s="516">
        <f t="shared" si="2"/>
        <v>0</v>
      </c>
      <c r="I15"/>
      <c r="J15"/>
      <c r="K15"/>
      <c r="L15"/>
      <c r="M15"/>
      <c r="N15"/>
      <c r="O15"/>
      <c r="P15"/>
      <c r="Q15"/>
      <c r="R15"/>
    </row>
    <row r="16" spans="1:18" hidden="1" outlineLevel="1" x14ac:dyDescent="0.35">
      <c r="A16" s="690" t="s">
        <v>502</v>
      </c>
      <c r="B16" s="686" t="s">
        <v>505</v>
      </c>
      <c r="C16" s="689">
        <f>Eeldused25!C16*Eeldused25!H42*(Eeldused25!C25*Eeldused25!C34)/1000</f>
        <v>43705.000000000007</v>
      </c>
      <c r="D16" s="691"/>
      <c r="E16" s="689">
        <f>C16*Eeldused25!C5</f>
        <v>6533.8975000000019</v>
      </c>
      <c r="F16" s="513">
        <f>E16</f>
        <v>6533.8975000000019</v>
      </c>
      <c r="G16" s="513"/>
      <c r="H16" s="516">
        <f t="shared" si="2"/>
        <v>0</v>
      </c>
      <c r="I16"/>
      <c r="J16"/>
      <c r="K16"/>
      <c r="L16"/>
      <c r="M16"/>
      <c r="N16"/>
      <c r="O16"/>
      <c r="P16"/>
      <c r="Q16"/>
      <c r="R16"/>
    </row>
    <row r="17" spans="1:18" hidden="1" outlineLevel="1" x14ac:dyDescent="0.35">
      <c r="A17" s="688" t="str">
        <f>A9</f>
        <v>Inkubaator</v>
      </c>
      <c r="B17" s="686" t="s">
        <v>505</v>
      </c>
      <c r="C17" s="689">
        <f>SUM(C18:C19)</f>
        <v>0</v>
      </c>
      <c r="D17" s="691"/>
      <c r="E17" s="689">
        <f>SUM(E18:E19)</f>
        <v>0</v>
      </c>
      <c r="F17" s="513">
        <f>SUM(F18:F19)</f>
        <v>0</v>
      </c>
      <c r="G17" s="513">
        <f>SUM(G18:G19)</f>
        <v>0</v>
      </c>
      <c r="H17" s="516">
        <f t="shared" si="2"/>
        <v>0</v>
      </c>
      <c r="I17"/>
      <c r="J17"/>
      <c r="K17"/>
      <c r="L17"/>
      <c r="M17"/>
      <c r="N17"/>
      <c r="O17"/>
      <c r="P17"/>
      <c r="Q17"/>
      <c r="R17"/>
    </row>
    <row r="18" spans="1:18" hidden="1" outlineLevel="1" x14ac:dyDescent="0.35">
      <c r="A18" s="690" t="s">
        <v>502</v>
      </c>
      <c r="B18" s="686" t="s">
        <v>505</v>
      </c>
      <c r="C18" s="689">
        <f>Eeldused25!C17*Eeldused25!H43*(Eeldused25!C27*Eeldused25!C36)/1000</f>
        <v>0</v>
      </c>
      <c r="D18" s="691"/>
      <c r="E18" s="689">
        <f>C18*Eeldused25!$C$5</f>
        <v>0</v>
      </c>
      <c r="F18" s="513">
        <f>E18</f>
        <v>0</v>
      </c>
      <c r="G18" s="513"/>
      <c r="H18" s="516">
        <f t="shared" si="2"/>
        <v>0</v>
      </c>
      <c r="I18"/>
      <c r="J18"/>
      <c r="K18"/>
      <c r="L18"/>
      <c r="M18"/>
      <c r="N18"/>
      <c r="O18"/>
      <c r="P18"/>
      <c r="Q18"/>
      <c r="R18"/>
    </row>
    <row r="19" spans="1:18" hidden="1" outlineLevel="1" x14ac:dyDescent="0.35">
      <c r="A19" s="692" t="s">
        <v>506</v>
      </c>
      <c r="B19" s="686" t="s">
        <v>505</v>
      </c>
      <c r="C19" s="689">
        <f>Eeldused25!C17*Eeldused25!H43*(Eeldused25!C27*Eeldused25!D36-Eeldused25!E27)/1000</f>
        <v>0</v>
      </c>
      <c r="D19" s="691"/>
      <c r="E19" s="689">
        <f>C19*Eeldused25!C5</f>
        <v>0</v>
      </c>
      <c r="F19" s="513"/>
      <c r="G19" s="513">
        <f>E19-F19</f>
        <v>0</v>
      </c>
      <c r="H19" s="516">
        <f t="shared" si="2"/>
        <v>0</v>
      </c>
      <c r="I19"/>
      <c r="J19"/>
      <c r="K19"/>
      <c r="L19"/>
      <c r="M19"/>
      <c r="N19"/>
      <c r="O19"/>
      <c r="P19"/>
      <c r="Q19"/>
      <c r="R19"/>
    </row>
    <row r="20" spans="1:18" collapsed="1" x14ac:dyDescent="0.35">
      <c r="A20" s="650" t="s">
        <v>414</v>
      </c>
      <c r="B20" s="651" t="s">
        <v>406</v>
      </c>
      <c r="C20" s="685">
        <f>SUM(C21:C22)</f>
        <v>1158.0660000000005</v>
      </c>
      <c r="D20" s="685"/>
      <c r="E20" s="685">
        <f>C20*Eeldused25!C8+C21*Eeldused25!C6+C22*Eeldused25!C20</f>
        <v>3137.6640204000014</v>
      </c>
      <c r="F20" s="498">
        <f>E20*Eeldused25!C38</f>
        <v>784.41600510000035</v>
      </c>
      <c r="G20" s="499">
        <f>E20*Eeldused25!D38</f>
        <v>2353.248015300001</v>
      </c>
      <c r="H20" s="516">
        <f t="shared" si="2"/>
        <v>8.0353759704938233E-3</v>
      </c>
      <c r="I20"/>
      <c r="J20"/>
      <c r="K20"/>
      <c r="L20"/>
      <c r="M20"/>
      <c r="N20"/>
      <c r="O20"/>
      <c r="P20"/>
      <c r="Q20"/>
      <c r="R20"/>
    </row>
    <row r="21" spans="1:18" outlineLevel="1" x14ac:dyDescent="0.35">
      <c r="A21" s="690" t="s">
        <v>415</v>
      </c>
      <c r="B21" s="651" t="s">
        <v>406</v>
      </c>
      <c r="C21" s="685">
        <f>Eeldused25!C19*Eeldused25!C49*12</f>
        <v>694.83960000000025</v>
      </c>
      <c r="D21" s="685"/>
      <c r="E21" s="685"/>
      <c r="F21" s="497"/>
      <c r="G21" s="497"/>
      <c r="H21" s="516">
        <f t="shared" si="2"/>
        <v>0</v>
      </c>
      <c r="I21"/>
      <c r="J21"/>
      <c r="K21"/>
      <c r="L21"/>
      <c r="M21"/>
      <c r="N21"/>
      <c r="O21"/>
      <c r="P21"/>
      <c r="Q21"/>
      <c r="R21"/>
    </row>
    <row r="22" spans="1:18" outlineLevel="1" x14ac:dyDescent="0.35">
      <c r="A22" s="690" t="s">
        <v>416</v>
      </c>
      <c r="B22" s="651" t="s">
        <v>406</v>
      </c>
      <c r="C22" s="685">
        <f>Eeldused25!C20*Eeldused25!C49*12</f>
        <v>463.22640000000024</v>
      </c>
      <c r="D22" s="685"/>
      <c r="E22" s="685"/>
      <c r="F22" s="497"/>
      <c r="G22" s="497"/>
      <c r="H22" s="516">
        <f t="shared" si="2"/>
        <v>0</v>
      </c>
      <c r="I22"/>
      <c r="J22"/>
      <c r="K22"/>
      <c r="L22"/>
      <c r="M22"/>
      <c r="N22"/>
      <c r="O22"/>
      <c r="P22"/>
      <c r="Q22"/>
      <c r="R22"/>
    </row>
    <row r="23" spans="1:18" ht="15.75" hidden="1" customHeight="1" x14ac:dyDescent="0.35">
      <c r="A23" s="650"/>
      <c r="B23" s="651"/>
      <c r="C23" s="685"/>
      <c r="D23" s="611"/>
      <c r="E23" s="685"/>
      <c r="F23" s="514"/>
      <c r="G23" s="515"/>
      <c r="H23" s="511">
        <f t="shared" si="2"/>
        <v>0</v>
      </c>
      <c r="I23"/>
      <c r="J23"/>
      <c r="K23"/>
      <c r="L23"/>
      <c r="M23"/>
      <c r="N23"/>
      <c r="O23"/>
      <c r="P23"/>
      <c r="Q23"/>
      <c r="R23"/>
    </row>
    <row r="24" spans="1:18" ht="29.25" hidden="1" customHeight="1" x14ac:dyDescent="0.35">
      <c r="A24" s="618"/>
      <c r="B24" s="686"/>
      <c r="C24" s="685"/>
      <c r="D24" s="611"/>
      <c r="E24" s="685"/>
      <c r="F24" s="517"/>
      <c r="G24" s="515"/>
      <c r="H24" s="511">
        <f t="shared" si="2"/>
        <v>0</v>
      </c>
      <c r="I24"/>
      <c r="J24"/>
      <c r="K24"/>
      <c r="L24"/>
      <c r="M24"/>
      <c r="N24"/>
      <c r="O24"/>
      <c r="P24"/>
      <c r="Q24"/>
      <c r="R24"/>
    </row>
    <row r="25" spans="1:18" ht="29.15" customHeight="1" x14ac:dyDescent="0.35">
      <c r="A25" s="651" t="s">
        <v>426</v>
      </c>
      <c r="B25" s="650"/>
      <c r="C25" s="687"/>
      <c r="D25" s="685">
        <f>SUM(D26:D28)</f>
        <v>7417.8720000000003</v>
      </c>
      <c r="E25" s="685">
        <f>SUM(E26:E28)</f>
        <v>89014.464000000007</v>
      </c>
      <c r="F25" s="517">
        <f>SUM(F26:F28)</f>
        <v>0</v>
      </c>
      <c r="G25" s="500">
        <f>SUM(G26:G28)</f>
        <v>89014.464000000007</v>
      </c>
      <c r="H25" s="511">
        <f t="shared" si="2"/>
        <v>0.30394785437046373</v>
      </c>
      <c r="I25"/>
      <c r="J25" t="s">
        <v>529</v>
      </c>
      <c r="K25"/>
      <c r="L25"/>
      <c r="M25"/>
      <c r="N25"/>
      <c r="O25"/>
      <c r="P25"/>
      <c r="Q25"/>
      <c r="R25"/>
    </row>
    <row r="26" spans="1:18" ht="28.5" customHeight="1" outlineLevel="1" x14ac:dyDescent="0.35">
      <c r="A26" s="650" t="s">
        <v>544</v>
      </c>
      <c r="B26" s="693" t="s">
        <v>301</v>
      </c>
      <c r="C26" s="685">
        <v>2772</v>
      </c>
      <c r="D26" s="685">
        <f>C26*J26*1.338</f>
        <v>3708.9360000000001</v>
      </c>
      <c r="E26" s="685">
        <f>D26*12</f>
        <v>44507.232000000004</v>
      </c>
      <c r="F26" s="518"/>
      <c r="G26" s="500">
        <f>E26</f>
        <v>44507.232000000004</v>
      </c>
      <c r="H26" s="511">
        <f t="shared" si="2"/>
        <v>0.15197392718523187</v>
      </c>
      <c r="I26"/>
      <c r="J26" s="713">
        <v>1</v>
      </c>
      <c r="K26"/>
      <c r="L26"/>
      <c r="M26"/>
      <c r="N26"/>
      <c r="O26"/>
      <c r="P26"/>
      <c r="Q26"/>
      <c r="R26"/>
    </row>
    <row r="27" spans="1:18" ht="30" customHeight="1" outlineLevel="1" x14ac:dyDescent="0.35">
      <c r="A27" s="650" t="s">
        <v>545</v>
      </c>
      <c r="B27" s="693" t="s">
        <v>301</v>
      </c>
      <c r="C27" s="685">
        <v>2772</v>
      </c>
      <c r="D27" s="685">
        <f t="shared" ref="D27:D28" si="3">C27*J27*1.338</f>
        <v>3708.9360000000001</v>
      </c>
      <c r="E27" s="685">
        <f>D27*12</f>
        <v>44507.232000000004</v>
      </c>
      <c r="F27" s="518"/>
      <c r="G27" s="500">
        <f>E27</f>
        <v>44507.232000000004</v>
      </c>
      <c r="H27" s="511">
        <f t="shared" si="2"/>
        <v>0.15197392718523187</v>
      </c>
      <c r="I27"/>
      <c r="J27" s="713">
        <v>1</v>
      </c>
      <c r="K27"/>
      <c r="L27"/>
      <c r="M27"/>
      <c r="N27"/>
      <c r="O27"/>
      <c r="P27"/>
      <c r="Q27"/>
      <c r="R27"/>
    </row>
    <row r="28" spans="1:18" ht="13.5" hidden="1" customHeight="1" x14ac:dyDescent="0.35">
      <c r="A28" s="650"/>
      <c r="B28" s="611"/>
      <c r="C28" s="685"/>
      <c r="D28" s="685">
        <f t="shared" si="3"/>
        <v>0</v>
      </c>
      <c r="E28" s="685"/>
      <c r="F28" s="518"/>
      <c r="G28" s="500"/>
      <c r="H28" s="511">
        <f t="shared" si="2"/>
        <v>0</v>
      </c>
      <c r="I28"/>
      <c r="J28" s="713"/>
      <c r="K28"/>
      <c r="L28"/>
      <c r="M28"/>
      <c r="N28"/>
      <c r="O28"/>
      <c r="P28"/>
      <c r="Q28"/>
      <c r="R28"/>
    </row>
    <row r="29" spans="1:18" x14ac:dyDescent="0.35">
      <c r="A29" s="651" t="s">
        <v>424</v>
      </c>
      <c r="B29" s="694"/>
      <c r="C29" s="695"/>
      <c r="D29" s="685">
        <f>E29/12</f>
        <v>2250</v>
      </c>
      <c r="E29" s="695">
        <f>SUM(E30:E30)</f>
        <v>27000</v>
      </c>
      <c r="F29" s="517">
        <f>SUM(F30:F30)</f>
        <v>0</v>
      </c>
      <c r="G29" s="500">
        <f>SUM(G30:G30)</f>
        <v>27000</v>
      </c>
      <c r="H29" s="511">
        <f t="shared" si="2"/>
        <v>9.2193916575204232E-2</v>
      </c>
      <c r="I29"/>
      <c r="J29"/>
      <c r="K29"/>
      <c r="L29"/>
      <c r="M29"/>
      <c r="N29"/>
      <c r="O29"/>
      <c r="P29"/>
      <c r="Q29"/>
      <c r="R29"/>
    </row>
    <row r="30" spans="1:18" hidden="1" outlineLevel="1" x14ac:dyDescent="0.35">
      <c r="A30" s="650" t="s">
        <v>425</v>
      </c>
      <c r="B30" s="651"/>
      <c r="C30" s="685"/>
      <c r="D30" s="685">
        <f>2700-450</f>
        <v>2250</v>
      </c>
      <c r="E30" s="685">
        <f>D30*12</f>
        <v>27000</v>
      </c>
      <c r="F30" s="518"/>
      <c r="G30" s="517">
        <f>E30</f>
        <v>27000</v>
      </c>
      <c r="H30" s="511">
        <f t="shared" si="2"/>
        <v>9.2193916575204232E-2</v>
      </c>
      <c r="I30"/>
      <c r="J30"/>
      <c r="K30"/>
      <c r="L30"/>
      <c r="M30"/>
      <c r="N30"/>
      <c r="O30"/>
      <c r="P30"/>
      <c r="Q30"/>
      <c r="R30"/>
    </row>
    <row r="31" spans="1:18" collapsed="1" x14ac:dyDescent="0.35">
      <c r="A31" s="651" t="s">
        <v>417</v>
      </c>
      <c r="B31" s="651"/>
      <c r="C31" s="685"/>
      <c r="D31" s="685">
        <f>E31/12</f>
        <v>1750</v>
      </c>
      <c r="E31" s="685">
        <f>E32+E33</f>
        <v>21000</v>
      </c>
      <c r="F31" s="517">
        <f>SUM(F32:F33)</f>
        <v>0</v>
      </c>
      <c r="G31" s="517">
        <f>SUM(G32:G33)</f>
        <v>21000</v>
      </c>
      <c r="H31" s="511">
        <f t="shared" si="2"/>
        <v>7.1706379558492184E-2</v>
      </c>
      <c r="I31"/>
      <c r="J31"/>
      <c r="K31"/>
      <c r="L31"/>
      <c r="M31"/>
      <c r="N31"/>
      <c r="O31"/>
      <c r="P31"/>
      <c r="Q31"/>
      <c r="R31"/>
    </row>
    <row r="32" spans="1:18" ht="22" hidden="1" outlineLevel="1" x14ac:dyDescent="0.35">
      <c r="A32" s="650" t="s">
        <v>302</v>
      </c>
      <c r="B32" s="693" t="s">
        <v>303</v>
      </c>
      <c r="C32" s="685"/>
      <c r="D32" s="685">
        <f>2000-500</f>
        <v>1500</v>
      </c>
      <c r="E32" s="685">
        <f>D32*12</f>
        <v>18000</v>
      </c>
      <c r="F32" s="518"/>
      <c r="G32" s="517">
        <f>E32</f>
        <v>18000</v>
      </c>
      <c r="H32" s="511">
        <f t="shared" si="2"/>
        <v>6.1462611050136153E-2</v>
      </c>
      <c r="I32"/>
      <c r="J32"/>
      <c r="K32"/>
      <c r="L32"/>
      <c r="M32"/>
      <c r="N32"/>
      <c r="O32"/>
      <c r="P32"/>
      <c r="Q32"/>
      <c r="R32"/>
    </row>
    <row r="33" spans="1:18" ht="29" hidden="1" outlineLevel="1" x14ac:dyDescent="0.35">
      <c r="A33" s="650" t="s">
        <v>304</v>
      </c>
      <c r="B33" s="651"/>
      <c r="C33" s="685"/>
      <c r="D33" s="685">
        <f>400-200+50</f>
        <v>250</v>
      </c>
      <c r="E33" s="685">
        <f>D33*12</f>
        <v>3000</v>
      </c>
      <c r="F33" s="518"/>
      <c r="G33" s="517">
        <f>E33</f>
        <v>3000</v>
      </c>
      <c r="H33" s="511">
        <f t="shared" si="2"/>
        <v>1.0243768508356026E-2</v>
      </c>
      <c r="I33"/>
      <c r="J33"/>
      <c r="K33"/>
      <c r="L33"/>
      <c r="M33"/>
      <c r="N33"/>
      <c r="O33"/>
      <c r="P33"/>
      <c r="Q33"/>
      <c r="R33"/>
    </row>
    <row r="34" spans="1:18" hidden="1" collapsed="1" x14ac:dyDescent="0.35">
      <c r="A34" s="650"/>
      <c r="B34" s="651"/>
      <c r="C34" s="685"/>
      <c r="D34" s="685"/>
      <c r="E34" s="685"/>
      <c r="F34" s="518"/>
      <c r="G34" s="517"/>
      <c r="H34" s="511">
        <f t="shared" si="2"/>
        <v>0</v>
      </c>
      <c r="I34"/>
      <c r="J34"/>
      <c r="K34"/>
      <c r="L34"/>
      <c r="M34"/>
      <c r="N34"/>
      <c r="O34"/>
      <c r="P34"/>
      <c r="Q34"/>
      <c r="R34"/>
    </row>
    <row r="35" spans="1:18" hidden="1" x14ac:dyDescent="0.35">
      <c r="A35" s="650"/>
      <c r="B35" s="651"/>
      <c r="C35" s="685"/>
      <c r="D35" s="685"/>
      <c r="E35" s="685"/>
      <c r="F35" s="518"/>
      <c r="G35" s="517"/>
      <c r="H35" s="511">
        <f t="shared" si="2"/>
        <v>0</v>
      </c>
      <c r="I35"/>
      <c r="J35"/>
      <c r="K35"/>
      <c r="L35"/>
      <c r="M35"/>
      <c r="N35"/>
      <c r="O35"/>
      <c r="P35"/>
      <c r="Q35"/>
      <c r="R35"/>
    </row>
    <row r="36" spans="1:18" x14ac:dyDescent="0.35">
      <c r="A36" s="651" t="s">
        <v>418</v>
      </c>
      <c r="B36" s="651"/>
      <c r="C36" s="685"/>
      <c r="D36" s="685">
        <f>E36/12</f>
        <v>4583.333333333333</v>
      </c>
      <c r="E36" s="685">
        <f>SUM(E37:E42)</f>
        <v>55000</v>
      </c>
      <c r="F36" s="518">
        <f t="shared" ref="F36:G36" si="4">SUM(F37:F42)</f>
        <v>0</v>
      </c>
      <c r="G36" s="517">
        <f t="shared" si="4"/>
        <v>55000</v>
      </c>
      <c r="H36" s="511">
        <f t="shared" si="2"/>
        <v>0.1878024226531938</v>
      </c>
      <c r="I36"/>
      <c r="J36"/>
      <c r="K36"/>
      <c r="L36"/>
      <c r="M36"/>
      <c r="N36"/>
      <c r="O36"/>
      <c r="P36"/>
      <c r="Q36"/>
      <c r="R36"/>
    </row>
    <row r="37" spans="1:18" ht="29" hidden="1" x14ac:dyDescent="0.35">
      <c r="A37" s="650" t="s">
        <v>305</v>
      </c>
      <c r="B37" s="651"/>
      <c r="C37" s="685"/>
      <c r="D37" s="685"/>
      <c r="E37" s="685">
        <v>55000</v>
      </c>
      <c r="F37" s="518"/>
      <c r="G37" s="517">
        <f>E37</f>
        <v>55000</v>
      </c>
      <c r="H37" s="511">
        <f t="shared" si="2"/>
        <v>0.1878024226531938</v>
      </c>
      <c r="I37"/>
      <c r="J37"/>
      <c r="K37"/>
      <c r="L37"/>
      <c r="M37"/>
      <c r="N37"/>
      <c r="O37"/>
      <c r="P37"/>
      <c r="Q37"/>
      <c r="R37"/>
    </row>
    <row r="38" spans="1:18" hidden="1" x14ac:dyDescent="0.35">
      <c r="A38" s="650"/>
      <c r="B38" s="651"/>
      <c r="C38" s="685"/>
      <c r="D38" s="685"/>
      <c r="E38" s="685"/>
      <c r="F38" s="518"/>
      <c r="G38" s="517"/>
      <c r="H38" s="511">
        <f t="shared" si="2"/>
        <v>0</v>
      </c>
      <c r="I38"/>
      <c r="J38"/>
      <c r="K38"/>
      <c r="L38"/>
      <c r="M38"/>
      <c r="N38"/>
      <c r="O38"/>
      <c r="P38"/>
      <c r="Q38"/>
      <c r="R38"/>
    </row>
    <row r="39" spans="1:18" hidden="1" x14ac:dyDescent="0.35">
      <c r="A39" s="650"/>
      <c r="B39" s="651"/>
      <c r="C39" s="685"/>
      <c r="D39" s="685"/>
      <c r="E39" s="685"/>
      <c r="F39" s="518"/>
      <c r="G39" s="517"/>
      <c r="H39" s="511">
        <f t="shared" si="2"/>
        <v>0</v>
      </c>
      <c r="I39"/>
      <c r="J39"/>
      <c r="K39"/>
      <c r="L39"/>
      <c r="M39"/>
      <c r="N39"/>
      <c r="O39"/>
      <c r="P39"/>
      <c r="Q39"/>
      <c r="R39"/>
    </row>
    <row r="40" spans="1:18" hidden="1" x14ac:dyDescent="0.35">
      <c r="A40" s="650"/>
      <c r="B40" s="651"/>
      <c r="C40" s="685"/>
      <c r="D40" s="685"/>
      <c r="E40" s="685"/>
      <c r="F40" s="518"/>
      <c r="G40" s="517"/>
      <c r="H40" s="511"/>
      <c r="I40"/>
      <c r="J40"/>
      <c r="K40"/>
      <c r="L40"/>
      <c r="M40"/>
      <c r="N40"/>
      <c r="O40"/>
      <c r="P40"/>
      <c r="Q40"/>
      <c r="R40"/>
    </row>
    <row r="41" spans="1:18" hidden="1" x14ac:dyDescent="0.35">
      <c r="A41" s="650"/>
      <c r="B41" s="651"/>
      <c r="C41" s="685"/>
      <c r="D41" s="685"/>
      <c r="E41" s="685"/>
      <c r="F41" s="518"/>
      <c r="G41" s="517"/>
      <c r="H41" s="511"/>
      <c r="I41"/>
      <c r="J41"/>
      <c r="K41"/>
      <c r="L41"/>
      <c r="M41"/>
      <c r="N41"/>
      <c r="O41"/>
      <c r="P41"/>
      <c r="Q41"/>
      <c r="R41"/>
    </row>
    <row r="42" spans="1:18" hidden="1" x14ac:dyDescent="0.35">
      <c r="A42" s="650"/>
      <c r="B42" s="651"/>
      <c r="C42" s="685"/>
      <c r="D42" s="685"/>
      <c r="E42" s="685"/>
      <c r="F42" s="518"/>
      <c r="G42" s="517"/>
      <c r="H42" s="511"/>
      <c r="I42"/>
      <c r="J42"/>
      <c r="K42"/>
      <c r="L42"/>
      <c r="M42"/>
      <c r="N42"/>
      <c r="O42"/>
      <c r="P42"/>
      <c r="Q42"/>
      <c r="R42"/>
    </row>
    <row r="43" spans="1:18" x14ac:dyDescent="0.35">
      <c r="A43" s="651" t="s">
        <v>488</v>
      </c>
      <c r="B43" s="651"/>
      <c r="C43" s="685"/>
      <c r="D43" s="685">
        <f>E43/12</f>
        <v>2750</v>
      </c>
      <c r="E43" s="685">
        <f>SUM(E44:E47)</f>
        <v>33000</v>
      </c>
      <c r="F43" s="519">
        <f>SUM(F44:F47)</f>
        <v>2250</v>
      </c>
      <c r="G43" s="517">
        <f>SUM(G44:G47)</f>
        <v>6750</v>
      </c>
      <c r="H43" s="511"/>
      <c r="I43"/>
      <c r="J43"/>
      <c r="K43"/>
      <c r="L43"/>
      <c r="M43"/>
      <c r="N43"/>
      <c r="O43"/>
      <c r="P43"/>
      <c r="Q43"/>
      <c r="R43"/>
    </row>
    <row r="44" spans="1:18" ht="32.5" hidden="1" outlineLevel="1" x14ac:dyDescent="0.35">
      <c r="A44" s="650" t="s">
        <v>306</v>
      </c>
      <c r="B44" s="693" t="s">
        <v>527</v>
      </c>
      <c r="C44" s="685"/>
      <c r="D44" s="685">
        <f>ROUND(8*8*10+700/12,-1)*1</f>
        <v>700</v>
      </c>
      <c r="E44" s="685">
        <f>D44*12</f>
        <v>8400</v>
      </c>
      <c r="F44" s="514">
        <f>E44*Eeldused25!$C$38</f>
        <v>2100</v>
      </c>
      <c r="G44" s="514">
        <f>E44*Eeldused25!$D$38</f>
        <v>6300</v>
      </c>
      <c r="H44" s="511">
        <f>G44/$G$62</f>
        <v>2.1511913867547652E-2</v>
      </c>
      <c r="I44"/>
      <c r="J44"/>
      <c r="K44"/>
      <c r="L44"/>
      <c r="M44"/>
      <c r="N44"/>
      <c r="O44"/>
      <c r="P44"/>
      <c r="Q44"/>
      <c r="R44"/>
    </row>
    <row r="45" spans="1:18" hidden="1" outlineLevel="1" x14ac:dyDescent="0.35">
      <c r="A45" s="650" t="s">
        <v>307</v>
      </c>
      <c r="B45" s="651"/>
      <c r="C45" s="685"/>
      <c r="D45" s="611">
        <f>110-60</f>
        <v>50</v>
      </c>
      <c r="E45" s="685">
        <f>D45*12</f>
        <v>600</v>
      </c>
      <c r="F45" s="514">
        <f>E45*Eeldused25!$C$38</f>
        <v>150</v>
      </c>
      <c r="G45" s="514">
        <f>E45*Eeldused25!$D$38</f>
        <v>450</v>
      </c>
      <c r="H45" s="511">
        <f>G45/$G$62</f>
        <v>1.5365652762534038E-3</v>
      </c>
      <c r="I45"/>
      <c r="J45"/>
      <c r="K45"/>
      <c r="L45"/>
      <c r="M45"/>
      <c r="N45"/>
      <c r="O45"/>
      <c r="P45"/>
      <c r="Q45"/>
      <c r="R45"/>
    </row>
    <row r="46" spans="1:18" hidden="1" outlineLevel="1" x14ac:dyDescent="0.35">
      <c r="A46" s="650" t="s">
        <v>308</v>
      </c>
      <c r="B46" s="651"/>
      <c r="C46" s="685"/>
      <c r="D46" s="685">
        <v>2000</v>
      </c>
      <c r="E46" s="685">
        <f>D46*12</f>
        <v>24000</v>
      </c>
      <c r="F46" s="518"/>
      <c r="G46" s="517"/>
      <c r="H46" s="511"/>
      <c r="I46"/>
      <c r="J46"/>
      <c r="K46"/>
      <c r="L46"/>
      <c r="M46"/>
      <c r="N46"/>
      <c r="O46"/>
      <c r="P46"/>
      <c r="Q46"/>
      <c r="R46"/>
    </row>
    <row r="47" spans="1:18" hidden="1" collapsed="1" x14ac:dyDescent="0.35">
      <c r="A47" s="650"/>
      <c r="B47" s="651"/>
      <c r="C47" s="685"/>
      <c r="D47" s="685"/>
      <c r="E47" s="685"/>
      <c r="F47" s="518"/>
      <c r="G47" s="517"/>
      <c r="H47" s="511"/>
      <c r="I47"/>
      <c r="J47"/>
      <c r="K47"/>
      <c r="L47"/>
      <c r="M47"/>
      <c r="N47"/>
      <c r="O47"/>
      <c r="P47"/>
      <c r="Q47"/>
      <c r="R47"/>
    </row>
    <row r="48" spans="1:18" ht="18" customHeight="1" x14ac:dyDescent="0.35">
      <c r="A48" s="651" t="s">
        <v>419</v>
      </c>
      <c r="B48" s="651"/>
      <c r="C48" s="685"/>
      <c r="D48" s="685">
        <f>E48/12</f>
        <v>1869.5</v>
      </c>
      <c r="E48" s="685">
        <f>SUM(E49:E53)</f>
        <v>22434</v>
      </c>
      <c r="F48" s="519">
        <f>SUM(F49:F53)</f>
        <v>5608.5</v>
      </c>
      <c r="G48" s="517">
        <f>SUM(G49:G53)</f>
        <v>16825.5</v>
      </c>
      <c r="H48" s="511">
        <f>G48/$G$62</f>
        <v>5.7452175679114773E-2</v>
      </c>
      <c r="I48"/>
      <c r="J48"/>
      <c r="K48"/>
      <c r="L48"/>
      <c r="M48"/>
      <c r="N48"/>
      <c r="O48"/>
      <c r="P48"/>
      <c r="Q48"/>
      <c r="R48"/>
    </row>
    <row r="49" spans="1:18" ht="22" hidden="1" outlineLevel="1" x14ac:dyDescent="0.35">
      <c r="A49" s="650" t="s">
        <v>309</v>
      </c>
      <c r="B49" s="693" t="s">
        <v>528</v>
      </c>
      <c r="C49" s="685"/>
      <c r="D49" s="685">
        <f>E49/12</f>
        <v>94.5</v>
      </c>
      <c r="E49" s="685">
        <f>12*13.5*7</f>
        <v>1134</v>
      </c>
      <c r="F49" s="514">
        <f>E49*Eeldused25!$C$38</f>
        <v>283.5</v>
      </c>
      <c r="G49" s="514">
        <f>E49*Eeldused25!$D$38</f>
        <v>850.5</v>
      </c>
      <c r="H49" s="511">
        <f>G49/$G$62</f>
        <v>2.9041083721189332E-3</v>
      </c>
      <c r="I49"/>
      <c r="J49"/>
      <c r="K49"/>
      <c r="L49"/>
      <c r="M49"/>
      <c r="N49"/>
      <c r="O49"/>
      <c r="P49"/>
      <c r="Q49"/>
      <c r="R49"/>
    </row>
    <row r="50" spans="1:18" ht="22" hidden="1" outlineLevel="1" x14ac:dyDescent="0.35">
      <c r="A50" s="650" t="s">
        <v>310</v>
      </c>
      <c r="B50" s="693" t="s">
        <v>311</v>
      </c>
      <c r="C50" s="685">
        <v>600</v>
      </c>
      <c r="D50" s="685">
        <f>E50/12</f>
        <v>150</v>
      </c>
      <c r="E50" s="685">
        <f>600*3</f>
        <v>1800</v>
      </c>
      <c r="F50" s="514">
        <f>E50*Eeldused25!$C$38</f>
        <v>450</v>
      </c>
      <c r="G50" s="514">
        <f>E50*Eeldused25!$D$38</f>
        <v>1350</v>
      </c>
      <c r="H50" s="511">
        <f>G50/$G$62</f>
        <v>4.609695828760212E-3</v>
      </c>
      <c r="I50"/>
      <c r="J50"/>
      <c r="K50"/>
      <c r="L50"/>
      <c r="M50"/>
      <c r="N50"/>
      <c r="O50"/>
      <c r="P50"/>
      <c r="Q50"/>
      <c r="R50"/>
    </row>
    <row r="51" spans="1:18" hidden="1" outlineLevel="1" x14ac:dyDescent="0.35">
      <c r="A51" s="650" t="s">
        <v>312</v>
      </c>
      <c r="B51" s="651"/>
      <c r="C51" s="685"/>
      <c r="D51" s="685">
        <f>E51/12</f>
        <v>291.66666666666669</v>
      </c>
      <c r="E51" s="685">
        <v>3500</v>
      </c>
      <c r="F51" s="514">
        <f>E51*Eeldused25!$C$38</f>
        <v>875</v>
      </c>
      <c r="G51" s="514">
        <f>E51*Eeldused25!$D$38</f>
        <v>2625</v>
      </c>
      <c r="H51" s="511">
        <f>G51/$G$62</f>
        <v>8.963297444811523E-3</v>
      </c>
      <c r="I51"/>
      <c r="J51"/>
      <c r="K51" s="496"/>
      <c r="L51"/>
      <c r="M51"/>
      <c r="N51"/>
      <c r="O51"/>
      <c r="P51"/>
      <c r="Q51"/>
      <c r="R51"/>
    </row>
    <row r="52" spans="1:18" hidden="1" outlineLevel="1" x14ac:dyDescent="0.35">
      <c r="A52" s="650" t="s">
        <v>313</v>
      </c>
      <c r="B52" s="651"/>
      <c r="C52" s="685"/>
      <c r="D52" s="685">
        <f>E52/12</f>
        <v>1333.3333333333333</v>
      </c>
      <c r="E52" s="685">
        <f>8000*2</f>
        <v>16000</v>
      </c>
      <c r="F52" s="514">
        <f>E52*Eeldused25!$C$38</f>
        <v>4000</v>
      </c>
      <c r="G52" s="514">
        <f>E52*Eeldused25!$D$38</f>
        <v>12000</v>
      </c>
      <c r="H52" s="511">
        <f>G52/$G$62</f>
        <v>4.0975074033424104E-2</v>
      </c>
      <c r="I52"/>
      <c r="J52"/>
      <c r="K52"/>
      <c r="L52"/>
      <c r="M52"/>
      <c r="N52"/>
      <c r="O52"/>
      <c r="P52"/>
      <c r="Q52"/>
      <c r="R52"/>
    </row>
    <row r="53" spans="1:18" hidden="1" outlineLevel="1" x14ac:dyDescent="0.35">
      <c r="A53" s="650"/>
      <c r="B53" s="651"/>
      <c r="C53" s="685"/>
      <c r="D53" s="685"/>
      <c r="E53" s="685"/>
      <c r="F53" s="514"/>
      <c r="G53" s="514"/>
      <c r="H53" s="511"/>
      <c r="I53"/>
      <c r="J53"/>
      <c r="K53"/>
      <c r="L53"/>
      <c r="M53"/>
      <c r="N53"/>
      <c r="O53"/>
      <c r="P53"/>
      <c r="Q53"/>
      <c r="R53"/>
    </row>
    <row r="54" spans="1:18" collapsed="1" x14ac:dyDescent="0.35">
      <c r="A54" s="651" t="s">
        <v>420</v>
      </c>
      <c r="B54" s="651"/>
      <c r="C54" s="685"/>
      <c r="D54" s="685">
        <v>1000</v>
      </c>
      <c r="E54" s="685">
        <f>D54*12</f>
        <v>12000</v>
      </c>
      <c r="F54" s="514">
        <f>E54*Eeldused25!$C$38</f>
        <v>3000</v>
      </c>
      <c r="G54" s="514">
        <f>E54*Eeldused25!$D$38</f>
        <v>9000</v>
      </c>
      <c r="H54" s="511">
        <f t="shared" ref="H54:H59" si="5">G54/$G$62</f>
        <v>3.0731305525068076E-2</v>
      </c>
      <c r="I54"/>
      <c r="J54"/>
      <c r="K54"/>
      <c r="L54"/>
      <c r="M54"/>
      <c r="N54"/>
      <c r="O54"/>
      <c r="P54"/>
      <c r="Q54"/>
      <c r="R54"/>
    </row>
    <row r="55" spans="1:18" ht="19.5" customHeight="1" x14ac:dyDescent="0.35">
      <c r="A55" s="651" t="s">
        <v>421</v>
      </c>
      <c r="B55" s="651" t="s">
        <v>507</v>
      </c>
      <c r="C55" s="696">
        <v>1E-3</v>
      </c>
      <c r="D55" s="685">
        <f>E55/12</f>
        <v>911.5</v>
      </c>
      <c r="E55" s="685">
        <f>C55*'1. Projekti elluviimise kulud'!J13</f>
        <v>10938</v>
      </c>
      <c r="F55" s="518"/>
      <c r="G55" s="517">
        <f>E55</f>
        <v>10938</v>
      </c>
      <c r="H55" s="511">
        <f t="shared" si="5"/>
        <v>3.7348779981466067E-2</v>
      </c>
      <c r="I55"/>
      <c r="J55"/>
      <c r="K55"/>
      <c r="L55"/>
      <c r="M55"/>
      <c r="N55"/>
      <c r="O55"/>
      <c r="P55"/>
      <c r="Q55"/>
      <c r="R55"/>
    </row>
    <row r="56" spans="1:18" x14ac:dyDescent="0.35">
      <c r="A56" s="651" t="s">
        <v>422</v>
      </c>
      <c r="B56" s="651"/>
      <c r="C56" s="685"/>
      <c r="D56" s="685">
        <f>E56/12</f>
        <v>595</v>
      </c>
      <c r="E56" s="685">
        <f>SUM(E57:E61)</f>
        <v>7140</v>
      </c>
      <c r="F56" s="520">
        <f>SUM(F57:F61)</f>
        <v>900</v>
      </c>
      <c r="G56" s="517">
        <f>SUM(G57:G61)</f>
        <v>6240</v>
      </c>
      <c r="H56" s="511">
        <f t="shared" si="5"/>
        <v>2.1307038497380533E-2</v>
      </c>
      <c r="I56"/>
      <c r="J56"/>
      <c r="K56"/>
      <c r="L56"/>
      <c r="M56"/>
      <c r="N56"/>
      <c r="O56"/>
      <c r="P56"/>
      <c r="Q56"/>
      <c r="R56"/>
    </row>
    <row r="57" spans="1:18" ht="29" hidden="1" outlineLevel="1" x14ac:dyDescent="0.35">
      <c r="A57" s="650" t="s">
        <v>314</v>
      </c>
      <c r="B57" s="651"/>
      <c r="C57" s="685"/>
      <c r="D57" s="685">
        <v>55</v>
      </c>
      <c r="E57" s="685">
        <f>D57*12</f>
        <v>660</v>
      </c>
      <c r="F57" s="518"/>
      <c r="G57" s="517">
        <f>E57</f>
        <v>660</v>
      </c>
      <c r="H57" s="511">
        <f t="shared" si="5"/>
        <v>2.2536290718383257E-3</v>
      </c>
      <c r="I57"/>
      <c r="J57"/>
      <c r="K57"/>
      <c r="L57"/>
      <c r="M57"/>
      <c r="N57"/>
      <c r="O57"/>
      <c r="P57"/>
      <c r="Q57"/>
      <c r="R57"/>
    </row>
    <row r="58" spans="1:18" hidden="1" outlineLevel="1" x14ac:dyDescent="0.35">
      <c r="A58" s="650" t="s">
        <v>315</v>
      </c>
      <c r="B58" s="651"/>
      <c r="C58" s="685"/>
      <c r="D58" s="685">
        <f>500-200</f>
        <v>300</v>
      </c>
      <c r="E58" s="685">
        <f>D58*12</f>
        <v>3600</v>
      </c>
      <c r="F58" s="514">
        <f>E58*Eeldused25!$C$38</f>
        <v>900</v>
      </c>
      <c r="G58" s="514">
        <f>E58*Eeldused25!$D$38</f>
        <v>2700</v>
      </c>
      <c r="H58" s="511">
        <f t="shared" si="5"/>
        <v>9.2193916575204239E-3</v>
      </c>
      <c r="I58"/>
      <c r="J58"/>
      <c r="K58"/>
      <c r="L58"/>
      <c r="M58"/>
      <c r="N58"/>
      <c r="O58"/>
      <c r="P58"/>
      <c r="Q58"/>
      <c r="R58"/>
    </row>
    <row r="59" spans="1:18" hidden="1" outlineLevel="1" x14ac:dyDescent="0.35">
      <c r="A59" s="650" t="s">
        <v>296</v>
      </c>
      <c r="B59" s="651"/>
      <c r="C59" s="685"/>
      <c r="D59" s="685">
        <f>240</f>
        <v>240</v>
      </c>
      <c r="E59" s="685">
        <f>D59*12</f>
        <v>2880</v>
      </c>
      <c r="F59" s="514"/>
      <c r="G59" s="515">
        <f>E59</f>
        <v>2880</v>
      </c>
      <c r="H59" s="511">
        <f t="shared" si="5"/>
        <v>9.8340177680217838E-3</v>
      </c>
      <c r="I59"/>
      <c r="J59"/>
      <c r="K59"/>
      <c r="L59"/>
      <c r="M59"/>
      <c r="N59"/>
      <c r="O59"/>
      <c r="P59"/>
      <c r="Q59"/>
      <c r="R59"/>
    </row>
    <row r="60" spans="1:18" hidden="1" outlineLevel="1" x14ac:dyDescent="0.35">
      <c r="A60" s="650"/>
      <c r="B60" s="651"/>
      <c r="C60" s="685"/>
      <c r="D60" s="685"/>
      <c r="E60" s="685"/>
      <c r="F60" s="515"/>
      <c r="G60" s="515"/>
      <c r="H60" s="494">
        <f>G60/$G$71</f>
        <v>0</v>
      </c>
      <c r="I60"/>
      <c r="J60"/>
      <c r="K60"/>
      <c r="L60"/>
      <c r="M60"/>
      <c r="N60"/>
      <c r="O60"/>
      <c r="P60"/>
      <c r="Q60"/>
      <c r="R60"/>
    </row>
    <row r="61" spans="1:18" collapsed="1" x14ac:dyDescent="0.35">
      <c r="A61" s="650"/>
      <c r="B61" s="651"/>
      <c r="C61" s="685"/>
      <c r="D61" s="685"/>
      <c r="E61" s="685"/>
      <c r="F61" s="515"/>
      <c r="G61" s="515"/>
      <c r="H61" s="494"/>
      <c r="I61"/>
      <c r="J61"/>
      <c r="K61"/>
      <c r="L61"/>
      <c r="M61"/>
      <c r="N61"/>
      <c r="O61"/>
      <c r="P61"/>
      <c r="Q61"/>
      <c r="R61"/>
    </row>
    <row r="62" spans="1:18" x14ac:dyDescent="0.35">
      <c r="A62" s="697" t="s">
        <v>368</v>
      </c>
      <c r="B62" s="651"/>
      <c r="C62" s="685"/>
      <c r="D62" s="698">
        <f>E62/12</f>
        <v>29348.697655606666</v>
      </c>
      <c r="E62" s="698">
        <f>E4+E25+E29+E31+E56+E36+E43+E48+E54+E55</f>
        <v>352184.37186727999</v>
      </c>
      <c r="F62" s="521">
        <f>F4+F25+F29+F31+F56+F36+F43+F48+F54+F55</f>
        <v>35323.400091820004</v>
      </c>
      <c r="G62" s="521">
        <f>G4+G25+G29+G31+G56+G36+G43+G48+G54+G55</f>
        <v>292860.97177546</v>
      </c>
      <c r="H62" s="511"/>
      <c r="I62"/>
      <c r="J62"/>
      <c r="K62" s="502"/>
      <c r="L62"/>
      <c r="M62"/>
      <c r="N62"/>
      <c r="O62"/>
      <c r="P62"/>
      <c r="Q62"/>
      <c r="R62"/>
    </row>
    <row r="63" spans="1:18" x14ac:dyDescent="0.35">
      <c r="A63" s="697"/>
      <c r="B63" s="651"/>
      <c r="C63" s="685"/>
      <c r="D63" s="685"/>
      <c r="E63" s="698"/>
      <c r="F63" s="515"/>
      <c r="G63" s="515"/>
      <c r="H63" s="511"/>
      <c r="I63"/>
      <c r="J63"/>
      <c r="K63"/>
      <c r="L63"/>
      <c r="M63"/>
      <c r="N63"/>
      <c r="O63"/>
      <c r="P63"/>
      <c r="Q63"/>
      <c r="R63"/>
    </row>
    <row r="64" spans="1:18" x14ac:dyDescent="0.35">
      <c r="A64" s="684" t="s">
        <v>423</v>
      </c>
      <c r="B64" s="651"/>
      <c r="C64" s="685"/>
      <c r="D64" s="614"/>
      <c r="E64" s="614"/>
      <c r="F64" s="490"/>
      <c r="G64" s="517"/>
      <c r="H64" s="511"/>
      <c r="I64"/>
      <c r="J64"/>
      <c r="K64"/>
      <c r="L64"/>
      <c r="M64"/>
      <c r="N64"/>
      <c r="O64"/>
      <c r="P64"/>
      <c r="Q64"/>
      <c r="R64"/>
    </row>
    <row r="65" spans="1:18" x14ac:dyDescent="0.35">
      <c r="A65" s="650" t="s">
        <v>589</v>
      </c>
      <c r="B65" s="651"/>
      <c r="C65" s="699"/>
      <c r="D65" s="685">
        <f>E65/12</f>
        <v>36460</v>
      </c>
      <c r="E65" s="685">
        <f>'1. Projekti elluviimise kulud'!J8/'1. Projekti elluviimise kulud'!L8</f>
        <v>437520</v>
      </c>
      <c r="F65" s="490"/>
      <c r="G65" s="517">
        <f>E65</f>
        <v>437520</v>
      </c>
      <c r="H65" s="511"/>
      <c r="I65"/>
      <c r="J65"/>
      <c r="K65"/>
      <c r="L65"/>
      <c r="M65"/>
      <c r="N65"/>
      <c r="O65"/>
      <c r="P65"/>
      <c r="Q65"/>
      <c r="R65"/>
    </row>
    <row r="66" spans="1:18" hidden="1" x14ac:dyDescent="0.35">
      <c r="A66" s="710" t="s">
        <v>347</v>
      </c>
      <c r="B66" s="651"/>
      <c r="C66" s="699"/>
      <c r="D66" s="709">
        <f>E66/12</f>
        <v>0</v>
      </c>
      <c r="E66" s="685">
        <f>IF(ISERROR('1. Projekti elluviimise kulud'!J9/'1. Projekti elluviimise kulud'!L9),0,'1. Projekti elluviimise kulud'!J9/'1. Projekti elluviimise kulud'!L9)</f>
        <v>0</v>
      </c>
      <c r="F66" s="490"/>
      <c r="G66" s="517">
        <f>E66</f>
        <v>0</v>
      </c>
      <c r="H66" s="511"/>
      <c r="I66"/>
      <c r="J66"/>
      <c r="K66"/>
      <c r="L66"/>
      <c r="M66"/>
      <c r="N66"/>
      <c r="O66"/>
      <c r="P66"/>
      <c r="Q66"/>
      <c r="R66"/>
    </row>
    <row r="67" spans="1:18" ht="30.75" hidden="1" customHeight="1" x14ac:dyDescent="0.35">
      <c r="A67" s="650"/>
      <c r="B67" s="651"/>
      <c r="C67" s="699"/>
      <c r="D67" s="685"/>
      <c r="E67" s="685"/>
      <c r="F67" s="490"/>
      <c r="G67" s="517">
        <f>E67</f>
        <v>0</v>
      </c>
      <c r="H67" s="511"/>
      <c r="I67"/>
      <c r="J67"/>
      <c r="K67"/>
      <c r="L67"/>
      <c r="M67"/>
      <c r="N67"/>
      <c r="O67"/>
      <c r="P67"/>
      <c r="Q67"/>
      <c r="R67"/>
    </row>
    <row r="68" spans="1:18" ht="31.5" hidden="1" customHeight="1" x14ac:dyDescent="0.35">
      <c r="A68" s="650"/>
      <c r="B68" s="651"/>
      <c r="C68" s="699"/>
      <c r="D68" s="685"/>
      <c r="E68" s="685"/>
      <c r="F68" s="490"/>
      <c r="G68" s="517">
        <f>E68</f>
        <v>0</v>
      </c>
      <c r="H68" s="511"/>
      <c r="I68"/>
      <c r="J68"/>
      <c r="K68"/>
      <c r="L68"/>
      <c r="M68"/>
      <c r="N68"/>
      <c r="O68"/>
      <c r="P68"/>
      <c r="Q68"/>
      <c r="R68"/>
    </row>
    <row r="69" spans="1:18" x14ac:dyDescent="0.35">
      <c r="A69" s="697" t="s">
        <v>508</v>
      </c>
      <c r="B69" s="611"/>
      <c r="C69" s="626"/>
      <c r="D69" s="698">
        <f>SUM(D65:D68)</f>
        <v>36460</v>
      </c>
      <c r="E69" s="698">
        <f>SUM(E65:E68)</f>
        <v>437520</v>
      </c>
      <c r="F69" s="521">
        <f>SUM(F65:F68)</f>
        <v>0</v>
      </c>
      <c r="G69" s="521">
        <f>SUM(G65:G68)</f>
        <v>437520</v>
      </c>
      <c r="H69"/>
      <c r="I69"/>
      <c r="J69"/>
      <c r="K69"/>
      <c r="L69"/>
      <c r="M69"/>
      <c r="N69"/>
      <c r="O69"/>
      <c r="P69"/>
      <c r="Q69"/>
      <c r="R69"/>
    </row>
    <row r="70" spans="1:18" x14ac:dyDescent="0.35">
      <c r="A70" s="697"/>
      <c r="B70" s="611"/>
      <c r="C70" s="626"/>
      <c r="D70" s="685"/>
      <c r="E70" s="685"/>
      <c r="F70" s="490"/>
      <c r="G70" s="490"/>
      <c r="H70"/>
      <c r="I70"/>
      <c r="J70"/>
      <c r="K70"/>
      <c r="L70"/>
      <c r="M70"/>
      <c r="N70"/>
      <c r="O70"/>
      <c r="P70"/>
      <c r="Q70"/>
      <c r="R70"/>
    </row>
    <row r="71" spans="1:18" x14ac:dyDescent="0.35">
      <c r="A71" s="683" t="s">
        <v>71</v>
      </c>
      <c r="B71" s="677"/>
      <c r="C71" s="677"/>
      <c r="D71" s="678">
        <f>E71/12</f>
        <v>65808.697655606666</v>
      </c>
      <c r="E71" s="678">
        <f>E62+E69</f>
        <v>789704.37186727999</v>
      </c>
      <c r="F71" s="505">
        <f>F62+F69</f>
        <v>35323.400091820004</v>
      </c>
      <c r="G71" s="505">
        <f>G62+G69</f>
        <v>730380.97177546006</v>
      </c>
      <c r="H71"/>
      <c r="I71"/>
      <c r="J71"/>
      <c r="K71"/>
      <c r="L71"/>
      <c r="M71"/>
      <c r="N71"/>
      <c r="O71"/>
      <c r="P71"/>
      <c r="Q71"/>
      <c r="R71"/>
    </row>
    <row r="72" spans="1:18" x14ac:dyDescent="0.35">
      <c r="A72" s="522"/>
      <c r="B72" s="523"/>
      <c r="C72" s="523"/>
      <c r="D72" s="524"/>
      <c r="E72" s="524"/>
      <c r="F72" s="524"/>
      <c r="G72" s="524"/>
      <c r="H72"/>
      <c r="I72"/>
      <c r="J72"/>
      <c r="K72"/>
      <c r="L72"/>
      <c r="M72"/>
      <c r="N72"/>
      <c r="O72"/>
      <c r="P72"/>
      <c r="Q72"/>
      <c r="R72"/>
    </row>
    <row r="73" spans="1:18" x14ac:dyDescent="0.35">
      <c r="A73" s="373"/>
      <c r="B73" s="369"/>
      <c r="C73" s="369"/>
      <c r="D73" s="374"/>
      <c r="E73" s="374"/>
      <c r="F73" s="374"/>
      <c r="G73" s="374"/>
    </row>
    <row r="74" spans="1:18" x14ac:dyDescent="0.35">
      <c r="E74" s="371"/>
      <c r="G74" s="371"/>
    </row>
    <row r="75" spans="1:18" x14ac:dyDescent="0.35">
      <c r="E75" s="370"/>
      <c r="G75" s="370"/>
    </row>
    <row r="77" spans="1:18" x14ac:dyDescent="0.35">
      <c r="E77" s="372"/>
    </row>
  </sheetData>
  <conditionalFormatting sqref="H2:H73">
    <cfRule type="cellIs" dxfId="3" priority="1" operator="equal">
      <formula>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8E66-7543-4DC8-B67C-7A741F096FC5}">
  <sheetPr>
    <tabColor rgb="FFFF0000"/>
  </sheetPr>
  <dimension ref="A1:H50"/>
  <sheetViews>
    <sheetView workbookViewId="0">
      <selection activeCell="H49" sqref="H49"/>
    </sheetView>
  </sheetViews>
  <sheetFormatPr defaultColWidth="9.1796875" defaultRowHeight="14.5" x14ac:dyDescent="0.35"/>
  <cols>
    <col min="1" max="1" width="25.1796875" style="365" customWidth="1"/>
    <col min="2" max="2" width="15.1796875" style="365" customWidth="1"/>
    <col min="3" max="3" width="14.7265625" style="365" customWidth="1"/>
    <col min="4" max="4" width="13.1796875" style="365" customWidth="1"/>
    <col min="5" max="5" width="13.26953125" style="365" customWidth="1"/>
    <col min="6" max="6" width="8.81640625" style="365" customWidth="1"/>
    <col min="7" max="7" width="12.453125" style="365" customWidth="1"/>
    <col min="8" max="8" width="14.26953125" style="365" customWidth="1"/>
    <col min="9" max="9" width="13.26953125" style="365" customWidth="1"/>
    <col min="10" max="10" width="17" style="365" customWidth="1"/>
    <col min="11" max="16384" width="9.1796875" style="365"/>
  </cols>
  <sheetData>
    <row r="1" spans="1:8" x14ac:dyDescent="0.35">
      <c r="A1" s="646" t="s">
        <v>438</v>
      </c>
      <c r="B1" s="646"/>
      <c r="C1" s="614"/>
      <c r="D1" s="614"/>
      <c r="E1" s="647"/>
      <c r="F1" s="612"/>
      <c r="G1" s="612"/>
      <c r="H1" s="614"/>
    </row>
    <row r="2" spans="1:8" x14ac:dyDescent="0.35">
      <c r="A2" s="614"/>
      <c r="B2" s="614"/>
      <c r="C2" s="614"/>
      <c r="D2" s="614"/>
      <c r="E2" s="613"/>
      <c r="F2" s="614"/>
      <c r="G2" s="614"/>
      <c r="H2" s="614"/>
    </row>
    <row r="3" spans="1:8" x14ac:dyDescent="0.35">
      <c r="A3" s="646" t="s">
        <v>439</v>
      </c>
      <c r="B3" s="646"/>
      <c r="C3" s="614"/>
      <c r="D3" s="612"/>
      <c r="E3" s="613"/>
      <c r="F3" s="614"/>
      <c r="G3" s="614"/>
      <c r="H3" s="614"/>
    </row>
    <row r="4" spans="1:8" x14ac:dyDescent="0.35">
      <c r="A4" s="648" t="s">
        <v>572</v>
      </c>
      <c r="B4" s="611" t="s">
        <v>573</v>
      </c>
      <c r="C4" s="611">
        <v>62.78</v>
      </c>
      <c r="D4" s="612"/>
      <c r="E4" s="613"/>
      <c r="F4" s="614"/>
      <c r="G4" s="614"/>
      <c r="H4" s="614"/>
    </row>
    <row r="5" spans="1:8" x14ac:dyDescent="0.35">
      <c r="A5" s="648" t="s">
        <v>440</v>
      </c>
      <c r="B5" s="611" t="s">
        <v>445</v>
      </c>
      <c r="C5" s="490">
        <f>0.115+0.115*0.3</f>
        <v>0.14950000000000002</v>
      </c>
      <c r="D5" s="615"/>
      <c r="E5" s="613"/>
      <c r="F5" s="614"/>
      <c r="G5" s="616"/>
      <c r="H5" s="614"/>
    </row>
    <row r="6" spans="1:8" x14ac:dyDescent="0.35">
      <c r="A6" s="648" t="s">
        <v>441</v>
      </c>
      <c r="B6" s="611" t="s">
        <v>444</v>
      </c>
      <c r="C6" s="611">
        <f>1.839</f>
        <v>1.839</v>
      </c>
      <c r="D6" s="612"/>
      <c r="E6" s="613"/>
      <c r="F6" s="614"/>
      <c r="G6" s="614"/>
      <c r="H6" s="614"/>
    </row>
    <row r="7" spans="1:8" x14ac:dyDescent="0.35">
      <c r="A7" s="648" t="s">
        <v>442</v>
      </c>
      <c r="B7" s="611" t="s">
        <v>444</v>
      </c>
      <c r="C7" s="611">
        <v>5</v>
      </c>
      <c r="D7" s="612"/>
      <c r="E7" s="613"/>
      <c r="F7" s="614"/>
      <c r="G7" s="614"/>
      <c r="H7" s="614"/>
    </row>
    <row r="8" spans="1:8" x14ac:dyDescent="0.35">
      <c r="A8" s="648" t="s">
        <v>443</v>
      </c>
      <c r="B8" s="611" t="s">
        <v>444</v>
      </c>
      <c r="C8" s="611">
        <v>1.4379999999999999</v>
      </c>
      <c r="D8" s="612"/>
      <c r="E8" s="613"/>
      <c r="F8" s="614"/>
      <c r="G8" s="614"/>
      <c r="H8" s="614"/>
    </row>
    <row r="9" spans="1:8" x14ac:dyDescent="0.35">
      <c r="A9" s="614"/>
      <c r="B9" s="614"/>
      <c r="C9" s="614"/>
      <c r="D9" s="614"/>
      <c r="E9" s="613"/>
      <c r="F9" s="614"/>
      <c r="G9" s="614"/>
      <c r="H9" s="614"/>
    </row>
    <row r="10" spans="1:8" x14ac:dyDescent="0.35">
      <c r="A10" s="646" t="s">
        <v>446</v>
      </c>
      <c r="B10" s="646"/>
      <c r="C10" s="614"/>
      <c r="D10" s="614"/>
      <c r="E10" s="613"/>
      <c r="F10" s="614"/>
      <c r="G10" s="614"/>
      <c r="H10" s="614"/>
    </row>
    <row r="11" spans="1:8" ht="29" x14ac:dyDescent="0.35">
      <c r="A11" s="648"/>
      <c r="B11" s="649" t="s">
        <v>2</v>
      </c>
      <c r="C11" s="617" t="s">
        <v>447</v>
      </c>
      <c r="D11" s="618" t="s">
        <v>448</v>
      </c>
      <c r="E11" s="613"/>
      <c r="F11" s="614"/>
      <c r="G11" s="614"/>
      <c r="H11" s="614"/>
    </row>
    <row r="12" spans="1:8" x14ac:dyDescent="0.35">
      <c r="A12" s="648" t="s">
        <v>572</v>
      </c>
      <c r="B12" s="650"/>
      <c r="C12" s="617"/>
      <c r="D12" s="618"/>
      <c r="E12" s="613"/>
      <c r="F12" s="614"/>
      <c r="G12" s="614"/>
      <c r="H12" s="614"/>
    </row>
    <row r="13" spans="1:8" x14ac:dyDescent="0.35">
      <c r="A13" s="645" t="s">
        <v>587</v>
      </c>
      <c r="B13" s="651" t="s">
        <v>574</v>
      </c>
      <c r="C13" s="621">
        <v>11.6</v>
      </c>
      <c r="D13" s="621">
        <f>C13</f>
        <v>11.6</v>
      </c>
      <c r="E13" s="613"/>
      <c r="F13" s="614"/>
      <c r="G13" s="620"/>
      <c r="H13" s="614"/>
    </row>
    <row r="14" spans="1:8" x14ac:dyDescent="0.35">
      <c r="A14" s="645"/>
      <c r="B14" s="651"/>
      <c r="C14" s="619"/>
      <c r="D14" s="619"/>
      <c r="E14" s="613"/>
      <c r="F14" s="614"/>
      <c r="G14" s="614"/>
      <c r="H14" s="614"/>
    </row>
    <row r="15" spans="1:8" x14ac:dyDescent="0.35">
      <c r="A15" s="648" t="s">
        <v>440</v>
      </c>
      <c r="B15" s="618"/>
      <c r="C15" s="611"/>
      <c r="D15" s="614"/>
      <c r="E15" s="613"/>
      <c r="F15" s="614"/>
      <c r="G15" s="614"/>
      <c r="H15" s="614"/>
    </row>
    <row r="16" spans="1:8" ht="14.25" customHeight="1" x14ac:dyDescent="0.35">
      <c r="A16" s="652" t="s">
        <v>587</v>
      </c>
      <c r="B16" s="651" t="s">
        <v>450</v>
      </c>
      <c r="C16" s="621">
        <v>10</v>
      </c>
      <c r="D16" s="614"/>
      <c r="E16" s="613"/>
      <c r="F16" s="614"/>
      <c r="G16" s="614"/>
      <c r="H16" s="614"/>
    </row>
    <row r="17" spans="1:8" ht="14.25" customHeight="1" x14ac:dyDescent="0.35">
      <c r="A17" s="652"/>
      <c r="B17" s="651"/>
      <c r="C17" s="621"/>
      <c r="D17" s="622"/>
      <c r="E17" s="613"/>
      <c r="F17" s="614"/>
      <c r="G17" s="614"/>
      <c r="H17" s="614"/>
    </row>
    <row r="18" spans="1:8" ht="14.25" customHeight="1" x14ac:dyDescent="0.35">
      <c r="A18" s="648" t="s">
        <v>414</v>
      </c>
      <c r="B18" s="618" t="s">
        <v>451</v>
      </c>
      <c r="C18" s="611">
        <f>50*21/1000</f>
        <v>1.05</v>
      </c>
      <c r="D18" s="614"/>
      <c r="E18" s="613"/>
      <c r="F18" s="614"/>
      <c r="G18" s="614"/>
      <c r="H18" s="614"/>
    </row>
    <row r="19" spans="1:8" ht="14.25" customHeight="1" x14ac:dyDescent="0.35">
      <c r="A19" s="645" t="s">
        <v>415</v>
      </c>
      <c r="B19" s="618" t="s">
        <v>451</v>
      </c>
      <c r="C19" s="611">
        <f>C18*0.6</f>
        <v>0.63</v>
      </c>
      <c r="D19" s="614"/>
      <c r="E19" s="613"/>
      <c r="F19" s="614"/>
      <c r="G19" s="614"/>
      <c r="H19" s="614"/>
    </row>
    <row r="20" spans="1:8" ht="14.25" customHeight="1" x14ac:dyDescent="0.35">
      <c r="A20" s="645" t="s">
        <v>416</v>
      </c>
      <c r="B20" s="618" t="s">
        <v>451</v>
      </c>
      <c r="C20" s="611">
        <f>C18*0.4</f>
        <v>0.42000000000000004</v>
      </c>
      <c r="D20" s="614"/>
      <c r="E20" s="613"/>
      <c r="F20" s="614"/>
      <c r="G20" s="623"/>
      <c r="H20" s="614"/>
    </row>
    <row r="21" spans="1:8" x14ac:dyDescent="0.35">
      <c r="A21" s="614"/>
      <c r="B21" s="614"/>
      <c r="C21" s="614"/>
      <c r="D21" s="614"/>
      <c r="E21" s="613"/>
      <c r="F21" s="614"/>
      <c r="G21" s="614"/>
      <c r="H21" s="614"/>
    </row>
    <row r="22" spans="1:8" ht="18.75" customHeight="1" x14ac:dyDescent="0.35">
      <c r="A22" s="646" t="s">
        <v>452</v>
      </c>
      <c r="B22" s="653"/>
      <c r="C22" s="624"/>
      <c r="D22" s="624"/>
      <c r="E22" s="625"/>
      <c r="F22" s="614"/>
      <c r="G22" s="614"/>
      <c r="H22" s="614"/>
    </row>
    <row r="23" spans="1:8" ht="18.75" customHeight="1" x14ac:dyDescent="0.35">
      <c r="A23" s="654" t="s">
        <v>294</v>
      </c>
      <c r="B23" s="853" t="s">
        <v>2</v>
      </c>
      <c r="C23" s="853" t="s">
        <v>360</v>
      </c>
      <c r="D23" s="853" t="s">
        <v>447</v>
      </c>
      <c r="E23" s="858" t="s">
        <v>453</v>
      </c>
      <c r="F23" s="853" t="s">
        <v>277</v>
      </c>
      <c r="G23" s="853" t="s">
        <v>281</v>
      </c>
      <c r="H23" s="614"/>
    </row>
    <row r="24" spans="1:8" x14ac:dyDescent="0.35">
      <c r="A24" s="655"/>
      <c r="B24" s="854"/>
      <c r="C24" s="854"/>
      <c r="D24" s="854"/>
      <c r="E24" s="859"/>
      <c r="F24" s="854"/>
      <c r="G24" s="854"/>
      <c r="H24" s="614"/>
    </row>
    <row r="25" spans="1:8" x14ac:dyDescent="0.35">
      <c r="A25" s="611" t="s">
        <v>588</v>
      </c>
      <c r="B25" s="656" t="s">
        <v>293</v>
      </c>
      <c r="C25" s="626">
        <f>Ruumid!C64</f>
        <v>8741.0000000000018</v>
      </c>
      <c r="D25" s="626">
        <f>Tulud50!N33</f>
        <v>3676.400000000001</v>
      </c>
      <c r="E25" s="626">
        <f>Tulud50!O33</f>
        <v>3676.400000000001</v>
      </c>
      <c r="F25" s="611"/>
      <c r="G25" s="626">
        <f>C25-D25-E25</f>
        <v>1388.1999999999994</v>
      </c>
      <c r="H25" s="614"/>
    </row>
    <row r="26" spans="1:8" x14ac:dyDescent="0.35">
      <c r="A26" s="611"/>
      <c r="B26" s="656"/>
      <c r="C26" s="673">
        <f>C25/$C$25</f>
        <v>1</v>
      </c>
      <c r="D26" s="673">
        <f>D25/$C$25</f>
        <v>0.42059260954124245</v>
      </c>
      <c r="E26" s="673">
        <f>E25/$C$25</f>
        <v>0.42059260954124245</v>
      </c>
      <c r="F26" s="611"/>
      <c r="G26" s="627">
        <f>G25/$C$25</f>
        <v>0.15881478091751505</v>
      </c>
      <c r="H26" s="614"/>
    </row>
    <row r="27" spans="1:8" hidden="1" x14ac:dyDescent="0.35">
      <c r="A27" s="611"/>
      <c r="B27" s="656"/>
      <c r="C27" s="628"/>
      <c r="D27" s="628"/>
      <c r="E27" s="628"/>
      <c r="F27" s="611"/>
      <c r="G27" s="626"/>
      <c r="H27" s="614"/>
    </row>
    <row r="28" spans="1:8" hidden="1" x14ac:dyDescent="0.35">
      <c r="A28" s="611"/>
      <c r="B28" s="656"/>
      <c r="C28" s="673"/>
      <c r="D28" s="673"/>
      <c r="E28" s="673"/>
      <c r="F28" s="627"/>
      <c r="G28" s="627"/>
      <c r="H28" s="614"/>
    </row>
    <row r="29" spans="1:8" x14ac:dyDescent="0.35">
      <c r="A29" s="614"/>
      <c r="B29" s="657"/>
      <c r="C29" s="712"/>
      <c r="D29" s="712"/>
      <c r="E29" s="712"/>
      <c r="F29" s="658"/>
      <c r="G29" s="658"/>
      <c r="H29" s="614"/>
    </row>
    <row r="30" spans="1:8" x14ac:dyDescent="0.35">
      <c r="A30" s="646" t="s">
        <v>482</v>
      </c>
      <c r="B30" s="657"/>
      <c r="C30" s="712"/>
      <c r="D30" s="712"/>
      <c r="E30" s="712"/>
      <c r="F30" s="658"/>
      <c r="G30" s="658"/>
      <c r="H30" s="614"/>
    </row>
    <row r="31" spans="1:8" ht="15" customHeight="1" x14ac:dyDescent="0.35">
      <c r="A31" s="654" t="s">
        <v>294</v>
      </c>
      <c r="B31" s="855" t="s">
        <v>2</v>
      </c>
      <c r="C31" s="857" t="s">
        <v>483</v>
      </c>
      <c r="D31" s="857"/>
      <c r="E31" s="857"/>
      <c r="F31" s="614"/>
      <c r="G31" s="614"/>
      <c r="H31" s="614"/>
    </row>
    <row r="32" spans="1:8" ht="43.5" x14ac:dyDescent="0.35">
      <c r="A32" s="655"/>
      <c r="B32" s="856"/>
      <c r="C32" s="659" t="s">
        <v>484</v>
      </c>
      <c r="D32" s="660" t="s">
        <v>485</v>
      </c>
      <c r="E32" s="659" t="s">
        <v>360</v>
      </c>
      <c r="F32" s="614"/>
      <c r="G32" s="614"/>
      <c r="H32" s="614"/>
    </row>
    <row r="33" spans="1:8" x14ac:dyDescent="0.35">
      <c r="A33" s="611" t="s">
        <v>588</v>
      </c>
      <c r="B33" s="661" t="s">
        <v>293</v>
      </c>
      <c r="C33" s="626">
        <f>Tulud50!N33</f>
        <v>3676.400000000001</v>
      </c>
      <c r="D33" s="626">
        <f>Tulud50!O33</f>
        <v>3676.400000000001</v>
      </c>
      <c r="E33" s="626">
        <f>SUM(C33:D33)</f>
        <v>7352.800000000002</v>
      </c>
      <c r="F33" s="614"/>
      <c r="G33" s="614"/>
      <c r="H33" s="614"/>
    </row>
    <row r="34" spans="1:8" x14ac:dyDescent="0.35">
      <c r="A34" s="611"/>
      <c r="B34" s="661"/>
      <c r="C34" s="627">
        <f>C33/E33</f>
        <v>0.5</v>
      </c>
      <c r="D34" s="627">
        <f>D33/E33</f>
        <v>0.5</v>
      </c>
      <c r="E34" s="627">
        <f>E33/E33</f>
        <v>1</v>
      </c>
      <c r="F34" s="614"/>
      <c r="G34" s="614"/>
      <c r="H34" s="614"/>
    </row>
    <row r="35" spans="1:8" hidden="1" x14ac:dyDescent="0.35">
      <c r="A35" s="611"/>
      <c r="B35" s="661"/>
      <c r="C35" s="628"/>
      <c r="D35" s="628"/>
      <c r="E35" s="626"/>
      <c r="F35" s="614"/>
      <c r="G35" s="614"/>
      <c r="H35" s="614"/>
    </row>
    <row r="36" spans="1:8" hidden="1" x14ac:dyDescent="0.35">
      <c r="A36" s="611"/>
      <c r="B36" s="661"/>
      <c r="C36" s="627"/>
      <c r="D36" s="627"/>
      <c r="E36" s="627"/>
      <c r="F36" s="614"/>
      <c r="G36" s="614"/>
      <c r="H36" s="614"/>
    </row>
    <row r="37" spans="1:8" x14ac:dyDescent="0.35">
      <c r="A37" s="611" t="s">
        <v>360</v>
      </c>
      <c r="B37" s="662" t="s">
        <v>293</v>
      </c>
      <c r="C37" s="663">
        <f>C33+C35</f>
        <v>3676.400000000001</v>
      </c>
      <c r="D37" s="663">
        <f>D33+D35</f>
        <v>3676.400000000001</v>
      </c>
      <c r="E37" s="663">
        <f>E33+E35</f>
        <v>7352.800000000002</v>
      </c>
      <c r="F37" s="614"/>
      <c r="G37" s="614"/>
      <c r="H37" s="614"/>
    </row>
    <row r="38" spans="1:8" x14ac:dyDescent="0.35">
      <c r="A38" s="611"/>
      <c r="B38" s="661"/>
      <c r="C38" s="627">
        <f>C37/E37</f>
        <v>0.5</v>
      </c>
      <c r="D38" s="627">
        <f>D37/E37</f>
        <v>0.5</v>
      </c>
      <c r="E38" s="627">
        <f>E37/E37</f>
        <v>1</v>
      </c>
      <c r="F38" s="614"/>
      <c r="G38" s="614"/>
      <c r="H38" s="614"/>
    </row>
    <row r="39" spans="1:8" x14ac:dyDescent="0.35">
      <c r="A39" s="614"/>
      <c r="B39" s="614"/>
      <c r="C39" s="614"/>
      <c r="D39" s="614"/>
      <c r="E39" s="613"/>
      <c r="F39" s="614"/>
      <c r="G39" s="614"/>
      <c r="H39" s="614"/>
    </row>
    <row r="40" spans="1:8" x14ac:dyDescent="0.35">
      <c r="A40" s="646" t="s">
        <v>454</v>
      </c>
      <c r="B40" s="614"/>
      <c r="C40" s="614"/>
      <c r="D40" s="614"/>
      <c r="E40" s="613"/>
      <c r="F40" s="614"/>
      <c r="G40" s="614" t="s">
        <v>459</v>
      </c>
      <c r="H40" s="614"/>
    </row>
    <row r="41" spans="1:8" ht="43.5" x14ac:dyDescent="0.35">
      <c r="A41" s="664" t="s">
        <v>294</v>
      </c>
      <c r="B41" s="659" t="str">
        <f>B23</f>
        <v>Ühik</v>
      </c>
      <c r="C41" s="659" t="s">
        <v>456</v>
      </c>
      <c r="D41" s="660" t="s">
        <v>457</v>
      </c>
      <c r="E41" s="660" t="s">
        <v>458</v>
      </c>
      <c r="F41" s="614"/>
      <c r="G41" s="659" t="s">
        <v>460</v>
      </c>
      <c r="H41" s="659" t="s">
        <v>461</v>
      </c>
    </row>
    <row r="42" spans="1:8" x14ac:dyDescent="0.35">
      <c r="A42" s="611" t="str">
        <f>A33</f>
        <v>Loometööstuse inkubaator stuudiotega</v>
      </c>
      <c r="B42" s="611" t="s">
        <v>455</v>
      </c>
      <c r="C42" s="665">
        <v>1</v>
      </c>
      <c r="D42" s="611">
        <f>C42*8</f>
        <v>8</v>
      </c>
      <c r="E42" s="626">
        <f>D42*250</f>
        <v>2000</v>
      </c>
      <c r="F42" s="614"/>
      <c r="G42" s="665">
        <v>8</v>
      </c>
      <c r="H42" s="611">
        <f>G42*250</f>
        <v>2000</v>
      </c>
    </row>
    <row r="43" spans="1:8" hidden="1" x14ac:dyDescent="0.35">
      <c r="A43" s="611"/>
      <c r="B43" s="611"/>
      <c r="C43" s="665"/>
      <c r="D43" s="611"/>
      <c r="E43" s="626"/>
      <c r="F43" s="614"/>
      <c r="G43" s="665"/>
      <c r="H43" s="611"/>
    </row>
    <row r="44" spans="1:8" x14ac:dyDescent="0.35">
      <c r="A44" s="614"/>
      <c r="B44" s="614"/>
      <c r="C44" s="614"/>
      <c r="D44" s="614"/>
      <c r="E44" s="613"/>
      <c r="F44" s="614"/>
      <c r="G44" s="614"/>
      <c r="H44" s="614"/>
    </row>
    <row r="45" spans="1:8" x14ac:dyDescent="0.35">
      <c r="A45" s="646" t="s">
        <v>462</v>
      </c>
      <c r="B45" s="614"/>
      <c r="C45" s="614"/>
      <c r="D45" s="614"/>
      <c r="E45" s="614"/>
      <c r="F45" s="614"/>
      <c r="G45" s="614"/>
      <c r="H45" s="614"/>
    </row>
    <row r="46" spans="1:8" ht="29" x14ac:dyDescent="0.35">
      <c r="A46" s="664" t="s">
        <v>294</v>
      </c>
      <c r="B46" s="659" t="s">
        <v>464</v>
      </c>
      <c r="C46" s="659" t="s">
        <v>463</v>
      </c>
      <c r="D46" s="614"/>
      <c r="E46" s="614"/>
      <c r="F46" s="614"/>
      <c r="G46" s="614"/>
      <c r="H46" s="614"/>
    </row>
    <row r="47" spans="1:8" x14ac:dyDescent="0.35">
      <c r="A47" s="611" t="str">
        <f>A42</f>
        <v>Loometööstuse inkubaator stuudiotega</v>
      </c>
      <c r="B47" s="611">
        <v>20</v>
      </c>
      <c r="C47" s="628">
        <f>C33/B47</f>
        <v>183.82000000000005</v>
      </c>
      <c r="D47" s="614"/>
      <c r="E47" s="614"/>
      <c r="F47" s="614"/>
      <c r="G47" s="614"/>
      <c r="H47" s="614"/>
    </row>
    <row r="48" spans="1:8" x14ac:dyDescent="0.35">
      <c r="A48" s="611"/>
      <c r="B48" s="611"/>
      <c r="C48" s="628"/>
      <c r="D48" s="614"/>
      <c r="E48" s="614"/>
      <c r="F48" s="614"/>
      <c r="G48" s="614"/>
      <c r="H48" s="614"/>
    </row>
    <row r="49" spans="1:8" x14ac:dyDescent="0.35">
      <c r="A49" s="611" t="s">
        <v>360</v>
      </c>
      <c r="B49" s="611"/>
      <c r="C49" s="628">
        <f>SUM(C47:C48)</f>
        <v>183.82000000000005</v>
      </c>
      <c r="D49" s="614"/>
      <c r="E49" s="614"/>
      <c r="F49" s="614"/>
      <c r="G49" s="614"/>
      <c r="H49" s="614"/>
    </row>
    <row r="50" spans="1:8" x14ac:dyDescent="0.35">
      <c r="E50" s="366"/>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833F-2354-40FB-9780-8527EEF35C2C}">
  <sheetPr>
    <tabColor rgb="FFFF0000"/>
  </sheetPr>
  <dimension ref="A1:T52"/>
  <sheetViews>
    <sheetView workbookViewId="0">
      <pane xSplit="3" ySplit="5" topLeftCell="D26" activePane="bottomRight" state="frozen"/>
      <selection pane="topRight" activeCell="D1" sqref="D1"/>
      <selection pane="bottomLeft" activeCell="A6" sqref="A6"/>
      <selection pane="bottomRight" activeCell="B29" sqref="B29"/>
    </sheetView>
  </sheetViews>
  <sheetFormatPr defaultColWidth="9.1796875" defaultRowHeight="14.5" outlineLevelCol="1" x14ac:dyDescent="0.35"/>
  <cols>
    <col min="1" max="1" width="33.54296875" style="365" customWidth="1"/>
    <col min="2" max="2" width="17.26953125" style="365" customWidth="1"/>
    <col min="3" max="3" width="15.54296875" style="365" customWidth="1"/>
    <col min="4" max="4" width="20" style="365" customWidth="1"/>
    <col min="5" max="5" width="10.453125" style="365" customWidth="1"/>
    <col min="6" max="6" width="15.453125" style="365" customWidth="1"/>
    <col min="7" max="7" width="12.26953125" style="365" customWidth="1"/>
    <col min="8" max="8" width="12.54296875" style="365" customWidth="1"/>
    <col min="9" max="9" width="11.7265625" style="365" customWidth="1"/>
    <col min="10" max="10" width="11.7265625" style="365" hidden="1" customWidth="1"/>
    <col min="11" max="11" width="9.1796875" style="365" hidden="1" customWidth="1"/>
    <col min="12" max="12" width="9.1796875" style="365" hidden="1" customWidth="1" outlineLevel="1"/>
    <col min="13" max="13" width="10.54296875" style="365" hidden="1" customWidth="1" outlineLevel="1"/>
    <col min="14" max="14" width="9.1796875" style="365" hidden="1" customWidth="1" outlineLevel="1"/>
    <col min="15" max="15" width="9.7265625" style="365" hidden="1" customWidth="1" outlineLevel="1"/>
    <col min="16" max="19" width="0" style="365" hidden="1" customWidth="1" outlineLevel="1"/>
    <col min="20" max="20" width="9.1796875" style="365" collapsed="1"/>
    <col min="21" max="16384" width="9.1796875" style="365"/>
  </cols>
  <sheetData>
    <row r="1" spans="1:19" x14ac:dyDescent="0.35">
      <c r="A1" s="646" t="s">
        <v>38</v>
      </c>
      <c r="B1" s="614"/>
      <c r="C1" s="614"/>
      <c r="D1" s="614"/>
      <c r="E1" s="666"/>
      <c r="F1" s="614"/>
      <c r="G1" s="666"/>
      <c r="H1" s="666"/>
      <c r="I1" s="616"/>
      <c r="J1"/>
      <c r="K1"/>
      <c r="L1"/>
      <c r="M1"/>
      <c r="N1"/>
      <c r="O1"/>
      <c r="P1"/>
      <c r="Q1"/>
    </row>
    <row r="2" spans="1:19" x14ac:dyDescent="0.35">
      <c r="A2" s="614"/>
      <c r="B2" s="614"/>
      <c r="C2" s="614"/>
      <c r="D2" s="614"/>
      <c r="E2" s="614"/>
      <c r="F2" s="614"/>
      <c r="G2" s="614"/>
      <c r="H2" s="614"/>
      <c r="I2" s="614"/>
      <c r="J2"/>
      <c r="K2"/>
      <c r="L2"/>
      <c r="M2"/>
      <c r="N2"/>
      <c r="O2"/>
      <c r="P2"/>
      <c r="Q2"/>
    </row>
    <row r="3" spans="1:19" x14ac:dyDescent="0.35">
      <c r="A3" s="646" t="s">
        <v>412</v>
      </c>
      <c r="B3" s="614"/>
      <c r="C3" s="614"/>
      <c r="D3" s="614"/>
      <c r="E3" s="614"/>
      <c r="F3" s="614"/>
      <c r="G3" s="614"/>
      <c r="H3" s="614"/>
      <c r="I3" s="614"/>
      <c r="J3"/>
      <c r="K3"/>
      <c r="L3"/>
      <c r="M3"/>
      <c r="N3"/>
      <c r="O3"/>
      <c r="P3"/>
      <c r="Q3"/>
    </row>
    <row r="4" spans="1:19" x14ac:dyDescent="0.35">
      <c r="A4" s="614"/>
      <c r="B4" s="614"/>
      <c r="C4" s="614"/>
      <c r="D4" s="614"/>
      <c r="E4" s="614"/>
      <c r="F4" s="614"/>
      <c r="G4" s="614"/>
      <c r="H4" s="614"/>
      <c r="I4" s="614"/>
      <c r="J4"/>
      <c r="K4"/>
      <c r="L4"/>
      <c r="M4"/>
      <c r="N4"/>
      <c r="O4"/>
      <c r="P4"/>
      <c r="Q4"/>
    </row>
    <row r="5" spans="1:19" ht="46.5" customHeight="1" x14ac:dyDescent="0.35">
      <c r="A5" s="667" t="s">
        <v>294</v>
      </c>
      <c r="B5" s="667" t="s">
        <v>474</v>
      </c>
      <c r="C5" s="667" t="s">
        <v>475</v>
      </c>
      <c r="D5" s="667" t="s">
        <v>490</v>
      </c>
      <c r="E5" s="667" t="s">
        <v>0</v>
      </c>
      <c r="F5" s="668" t="s">
        <v>491</v>
      </c>
      <c r="G5" s="667" t="s">
        <v>492</v>
      </c>
      <c r="H5" s="667" t="s">
        <v>493</v>
      </c>
      <c r="I5" s="667" t="s">
        <v>494</v>
      </c>
      <c r="J5"/>
      <c r="K5"/>
      <c r="L5"/>
      <c r="M5" s="715" t="s">
        <v>531</v>
      </c>
      <c r="N5" s="715" t="s">
        <v>532</v>
      </c>
      <c r="O5" s="715" t="s">
        <v>533</v>
      </c>
      <c r="P5"/>
      <c r="Q5" s="715" t="s">
        <v>534</v>
      </c>
      <c r="R5" s="715" t="s">
        <v>535</v>
      </c>
      <c r="S5" s="715" t="s">
        <v>536</v>
      </c>
    </row>
    <row r="6" spans="1:19" hidden="1" x14ac:dyDescent="0.35">
      <c r="A6" s="669" t="s">
        <v>292</v>
      </c>
      <c r="B6" s="611"/>
      <c r="C6" s="611"/>
      <c r="D6" s="611"/>
      <c r="E6" s="611"/>
      <c r="F6" s="611"/>
      <c r="G6" s="611"/>
      <c r="H6" s="611"/>
      <c r="I6" s="611"/>
      <c r="J6"/>
      <c r="K6"/>
      <c r="L6"/>
      <c r="M6" s="490"/>
      <c r="N6" s="490"/>
      <c r="O6" s="490"/>
      <c r="P6"/>
      <c r="Q6" s="490"/>
      <c r="R6" s="708"/>
      <c r="S6" s="708"/>
    </row>
    <row r="7" spans="1:19" hidden="1" x14ac:dyDescent="0.35">
      <c r="A7" s="639"/>
      <c r="B7" s="641"/>
      <c r="C7" s="641"/>
      <c r="D7" s="670"/>
      <c r="E7" s="670"/>
      <c r="F7" s="670"/>
      <c r="G7" s="671"/>
      <c r="H7" s="671"/>
      <c r="I7" s="671"/>
      <c r="J7"/>
      <c r="K7"/>
      <c r="L7"/>
      <c r="M7" s="490"/>
      <c r="N7" s="490"/>
      <c r="O7" s="490"/>
      <c r="P7"/>
      <c r="Q7" s="490"/>
      <c r="R7" s="708"/>
      <c r="S7" s="708"/>
    </row>
    <row r="8" spans="1:19" hidden="1" x14ac:dyDescent="0.35">
      <c r="A8" s="611"/>
      <c r="B8" s="611"/>
      <c r="C8" s="611"/>
      <c r="D8" s="656"/>
      <c r="E8" s="611"/>
      <c r="F8" s="672"/>
      <c r="G8" s="626"/>
      <c r="H8" s="626"/>
      <c r="I8" s="627"/>
      <c r="J8"/>
      <c r="K8" t="s">
        <v>275</v>
      </c>
      <c r="L8"/>
      <c r="M8" s="490">
        <f>B8</f>
        <v>0</v>
      </c>
      <c r="N8" s="490">
        <f>B8*F8</f>
        <v>0</v>
      </c>
      <c r="O8" s="490">
        <f>M8-N8</f>
        <v>0</v>
      </c>
      <c r="P8"/>
      <c r="Q8" s="490"/>
      <c r="R8" s="708"/>
      <c r="S8" s="708"/>
    </row>
    <row r="9" spans="1:19" hidden="1" x14ac:dyDescent="0.35">
      <c r="A9" s="611"/>
      <c r="B9" s="611"/>
      <c r="C9" s="611"/>
      <c r="D9" s="656"/>
      <c r="E9" s="611"/>
      <c r="F9" s="627"/>
      <c r="G9" s="626"/>
      <c r="H9" s="626"/>
      <c r="I9" s="627"/>
      <c r="J9"/>
      <c r="K9" t="s">
        <v>277</v>
      </c>
      <c r="L9"/>
      <c r="M9" s="490">
        <f>B9</f>
        <v>0</v>
      </c>
      <c r="N9" s="490">
        <f>B9*F9</f>
        <v>0</v>
      </c>
      <c r="O9" s="490">
        <f>M9-N9</f>
        <v>0</v>
      </c>
      <c r="P9"/>
      <c r="Q9" s="490"/>
      <c r="R9" s="708"/>
      <c r="S9" s="708"/>
    </row>
    <row r="10" spans="1:19" hidden="1" x14ac:dyDescent="0.35">
      <c r="A10" s="639"/>
      <c r="B10" s="641"/>
      <c r="C10" s="641"/>
      <c r="D10" s="670"/>
      <c r="E10" s="670"/>
      <c r="F10" s="670"/>
      <c r="G10" s="671"/>
      <c r="H10" s="671"/>
      <c r="I10" s="671"/>
      <c r="J10"/>
      <c r="K10"/>
      <c r="L10"/>
      <c r="M10" s="490"/>
      <c r="N10" s="490"/>
      <c r="O10" s="490"/>
      <c r="P10"/>
      <c r="Q10" s="490"/>
      <c r="R10" s="708"/>
      <c r="S10" s="708"/>
    </row>
    <row r="11" spans="1:19" hidden="1" x14ac:dyDescent="0.35">
      <c r="A11" s="611"/>
      <c r="B11" s="611"/>
      <c r="C11" s="611"/>
      <c r="D11" s="656"/>
      <c r="E11" s="611"/>
      <c r="F11" s="672"/>
      <c r="G11" s="626"/>
      <c r="H11" s="626"/>
      <c r="I11" s="627"/>
      <c r="J11"/>
      <c r="K11" t="s">
        <v>275</v>
      </c>
      <c r="L11"/>
      <c r="M11" s="490">
        <f>B11</f>
        <v>0</v>
      </c>
      <c r="N11" s="490">
        <f>B11*F11</f>
        <v>0</v>
      </c>
      <c r="O11" s="490">
        <f>M11-N11</f>
        <v>0</v>
      </c>
      <c r="P11"/>
      <c r="Q11" s="490"/>
      <c r="R11" s="708"/>
      <c r="S11" s="708"/>
    </row>
    <row r="12" spans="1:19" hidden="1" x14ac:dyDescent="0.35">
      <c r="A12" s="639"/>
      <c r="B12" s="639"/>
      <c r="C12" s="641"/>
      <c r="D12" s="670"/>
      <c r="E12" s="670"/>
      <c r="F12" s="670"/>
      <c r="G12" s="671"/>
      <c r="H12" s="671"/>
      <c r="I12" s="671"/>
      <c r="J12"/>
      <c r="K12"/>
      <c r="L12"/>
      <c r="M12" s="490"/>
      <c r="N12" s="490"/>
      <c r="O12" s="490"/>
      <c r="P12"/>
      <c r="Q12" s="490"/>
      <c r="R12" s="708"/>
      <c r="S12" s="708"/>
    </row>
    <row r="13" spans="1:19" hidden="1" x14ac:dyDescent="0.35">
      <c r="A13" s="611"/>
      <c r="B13" s="611"/>
      <c r="C13" s="611"/>
      <c r="D13" s="656"/>
      <c r="E13" s="611"/>
      <c r="F13" s="672"/>
      <c r="G13" s="626"/>
      <c r="H13" s="626"/>
      <c r="I13" s="627"/>
      <c r="J13"/>
      <c r="K13" t="s">
        <v>277</v>
      </c>
      <c r="L13"/>
      <c r="M13" s="490">
        <f t="shared" ref="M13:M14" si="0">B13</f>
        <v>0</v>
      </c>
      <c r="N13" s="490">
        <f t="shared" ref="N13:N14" si="1">B13*F13</f>
        <v>0</v>
      </c>
      <c r="O13" s="490">
        <f t="shared" ref="O13:O14" si="2">M13-N13</f>
        <v>0</v>
      </c>
      <c r="P13"/>
      <c r="Q13" s="490"/>
      <c r="R13" s="708"/>
      <c r="S13" s="708"/>
    </row>
    <row r="14" spans="1:19" hidden="1" x14ac:dyDescent="0.35">
      <c r="A14" s="611"/>
      <c r="B14" s="611"/>
      <c r="C14" s="611"/>
      <c r="D14" s="611"/>
      <c r="E14" s="611"/>
      <c r="F14" s="672"/>
      <c r="G14" s="626"/>
      <c r="H14" s="626"/>
      <c r="I14" s="627"/>
      <c r="J14"/>
      <c r="K14" t="s">
        <v>277</v>
      </c>
      <c r="L14"/>
      <c r="M14" s="490">
        <f t="shared" si="0"/>
        <v>0</v>
      </c>
      <c r="N14" s="490">
        <f t="shared" si="1"/>
        <v>0</v>
      </c>
      <c r="O14" s="490">
        <f t="shared" si="2"/>
        <v>0</v>
      </c>
      <c r="P14"/>
      <c r="Q14" s="490"/>
      <c r="R14" s="708"/>
      <c r="S14" s="708"/>
    </row>
    <row r="15" spans="1:19" hidden="1" x14ac:dyDescent="0.35">
      <c r="A15" s="639"/>
      <c r="B15" s="641"/>
      <c r="C15" s="641"/>
      <c r="D15" s="670"/>
      <c r="E15" s="670"/>
      <c r="F15" s="670"/>
      <c r="G15" s="671"/>
      <c r="H15" s="671"/>
      <c r="I15" s="671"/>
      <c r="J15"/>
      <c r="K15"/>
      <c r="L15"/>
      <c r="M15" s="490"/>
      <c r="N15" s="490"/>
      <c r="O15" s="490"/>
      <c r="P15"/>
      <c r="Q15" s="490"/>
      <c r="R15" s="708"/>
      <c r="S15" s="708"/>
    </row>
    <row r="16" spans="1:19" hidden="1" x14ac:dyDescent="0.35">
      <c r="A16" s="611"/>
      <c r="B16" s="611"/>
      <c r="C16" s="611"/>
      <c r="D16" s="656"/>
      <c r="E16" s="611"/>
      <c r="F16" s="672"/>
      <c r="G16" s="626"/>
      <c r="H16" s="626"/>
      <c r="I16" s="627"/>
      <c r="J16"/>
      <c r="K16" t="s">
        <v>275</v>
      </c>
      <c r="L16"/>
      <c r="M16" s="490">
        <f t="shared" ref="M16:M17" si="3">B16</f>
        <v>0</v>
      </c>
      <c r="N16" s="490">
        <f>B16*F16</f>
        <v>0</v>
      </c>
      <c r="O16" s="490">
        <f t="shared" ref="O16:O17" si="4">M16-N16</f>
        <v>0</v>
      </c>
      <c r="P16"/>
      <c r="Q16" s="490"/>
      <c r="R16" s="708"/>
      <c r="S16" s="708"/>
    </row>
    <row r="17" spans="1:19" hidden="1" x14ac:dyDescent="0.35">
      <c r="A17" s="611"/>
      <c r="B17" s="611"/>
      <c r="C17" s="611"/>
      <c r="D17" s="656"/>
      <c r="E17" s="611"/>
      <c r="F17" s="672"/>
      <c r="G17" s="626"/>
      <c r="H17" s="626"/>
      <c r="I17" s="627"/>
      <c r="J17"/>
      <c r="K17" t="s">
        <v>275</v>
      </c>
      <c r="L17"/>
      <c r="M17" s="490">
        <f t="shared" si="3"/>
        <v>0</v>
      </c>
      <c r="N17" s="490">
        <f>B17*F17</f>
        <v>0</v>
      </c>
      <c r="O17" s="490">
        <f t="shared" si="4"/>
        <v>0</v>
      </c>
      <c r="P17"/>
      <c r="Q17" s="490"/>
      <c r="R17" s="708"/>
      <c r="S17" s="708"/>
    </row>
    <row r="18" spans="1:19" hidden="1" x14ac:dyDescent="0.35">
      <c r="A18" s="639"/>
      <c r="B18" s="641"/>
      <c r="C18" s="641"/>
      <c r="D18" s="670"/>
      <c r="E18" s="670"/>
      <c r="F18" s="670"/>
      <c r="G18" s="671"/>
      <c r="H18" s="671"/>
      <c r="I18" s="671"/>
      <c r="J18"/>
      <c r="K18"/>
      <c r="L18"/>
      <c r="M18" s="490"/>
      <c r="N18" s="490"/>
      <c r="O18" s="490"/>
      <c r="P18"/>
      <c r="Q18" s="490"/>
      <c r="R18" s="708"/>
      <c r="S18" s="708"/>
    </row>
    <row r="19" spans="1:19" hidden="1" x14ac:dyDescent="0.35">
      <c r="A19" s="611"/>
      <c r="B19" s="611"/>
      <c r="C19" s="611"/>
      <c r="D19" s="656"/>
      <c r="E19" s="611"/>
      <c r="F19" s="673"/>
      <c r="G19" s="626"/>
      <c r="H19" s="626"/>
      <c r="I19" s="627"/>
      <c r="J19" s="496"/>
      <c r="K19" t="s">
        <v>275</v>
      </c>
      <c r="L19"/>
      <c r="M19" s="490">
        <f t="shared" ref="M19:M20" si="5">B19</f>
        <v>0</v>
      </c>
      <c r="N19" s="490">
        <f>B19*F19</f>
        <v>0</v>
      </c>
      <c r="O19" s="490">
        <f t="shared" ref="O19:O20" si="6">M19-N19</f>
        <v>0</v>
      </c>
      <c r="P19"/>
      <c r="Q19" s="490"/>
      <c r="R19" s="708"/>
      <c r="S19" s="708"/>
    </row>
    <row r="20" spans="1:19" hidden="1" x14ac:dyDescent="0.35">
      <c r="A20" s="611"/>
      <c r="B20" s="611"/>
      <c r="C20" s="611"/>
      <c r="D20" s="656"/>
      <c r="E20" s="611"/>
      <c r="F20" s="673"/>
      <c r="G20" s="626"/>
      <c r="H20" s="626"/>
      <c r="I20" s="627"/>
      <c r="J20"/>
      <c r="K20" t="s">
        <v>275</v>
      </c>
      <c r="L20"/>
      <c r="M20" s="490">
        <f t="shared" si="5"/>
        <v>0</v>
      </c>
      <c r="N20" s="490">
        <f>B20*F20</f>
        <v>0</v>
      </c>
      <c r="O20" s="490">
        <f t="shared" si="6"/>
        <v>0</v>
      </c>
      <c r="P20"/>
      <c r="Q20" s="490"/>
      <c r="R20" s="708"/>
      <c r="S20" s="708"/>
    </row>
    <row r="21" spans="1:19" hidden="1" x14ac:dyDescent="0.35">
      <c r="A21" s="639"/>
      <c r="B21" s="639"/>
      <c r="C21" s="641"/>
      <c r="D21" s="670"/>
      <c r="E21" s="670"/>
      <c r="F21" s="670"/>
      <c r="G21" s="671"/>
      <c r="H21" s="671"/>
      <c r="I21" s="671"/>
      <c r="J21"/>
      <c r="K21"/>
      <c r="L21"/>
      <c r="M21" s="490"/>
      <c r="N21" s="490"/>
      <c r="O21" s="490"/>
      <c r="P21"/>
      <c r="Q21" s="490"/>
      <c r="R21" s="708"/>
      <c r="S21" s="708"/>
    </row>
    <row r="22" spans="1:19" hidden="1" x14ac:dyDescent="0.35">
      <c r="A22" s="611"/>
      <c r="B22" s="611"/>
      <c r="C22" s="611"/>
      <c r="D22" s="656"/>
      <c r="E22" s="611"/>
      <c r="F22" s="672"/>
      <c r="G22" s="626"/>
      <c r="H22" s="626"/>
      <c r="I22" s="627"/>
      <c r="J22"/>
      <c r="K22"/>
      <c r="L22"/>
      <c r="M22" s="490"/>
      <c r="N22" s="490"/>
      <c r="O22" s="490"/>
      <c r="P22"/>
      <c r="Q22" s="490"/>
      <c r="R22" s="708"/>
      <c r="S22" s="708"/>
    </row>
    <row r="23" spans="1:19" hidden="1" x14ac:dyDescent="0.35">
      <c r="A23" s="611"/>
      <c r="B23" s="611"/>
      <c r="C23" s="611"/>
      <c r="D23" s="656"/>
      <c r="E23" s="611"/>
      <c r="F23" s="674"/>
      <c r="G23" s="626"/>
      <c r="H23" s="626"/>
      <c r="I23" s="626"/>
      <c r="J23"/>
      <c r="K23"/>
      <c r="L23"/>
      <c r="M23" s="505">
        <f>SUM(M6:M22)</f>
        <v>0</v>
      </c>
      <c r="N23" s="505">
        <f>SUM(N6:N22)</f>
        <v>0</v>
      </c>
      <c r="O23" s="505">
        <f>SUM(O6:O22)</f>
        <v>0</v>
      </c>
      <c r="P23"/>
      <c r="Q23" s="490"/>
      <c r="R23" s="708"/>
      <c r="S23" s="708"/>
    </row>
    <row r="24" spans="1:19" ht="15" hidden="1" customHeight="1" x14ac:dyDescent="0.35">
      <c r="A24" s="669" t="s">
        <v>285</v>
      </c>
      <c r="B24" s="659"/>
      <c r="C24" s="659"/>
      <c r="D24" s="659"/>
      <c r="E24" s="659"/>
      <c r="F24" s="675"/>
      <c r="G24" s="676"/>
      <c r="H24" s="676"/>
      <c r="I24" s="676"/>
      <c r="J24"/>
      <c r="K24"/>
      <c r="L24"/>
      <c r="M24" s="490"/>
      <c r="N24" s="490"/>
      <c r="O24" s="490"/>
      <c r="P24"/>
      <c r="Q24" s="490"/>
      <c r="R24" s="708"/>
      <c r="S24" s="708"/>
    </row>
    <row r="25" spans="1:19" hidden="1" x14ac:dyDescent="0.35">
      <c r="A25" s="611"/>
      <c r="B25" s="611"/>
      <c r="C25" s="611"/>
      <c r="D25" s="611"/>
      <c r="E25" s="611"/>
      <c r="F25" s="611"/>
      <c r="G25" s="626"/>
      <c r="H25" s="626"/>
      <c r="I25" s="626"/>
      <c r="J25"/>
      <c r="K25"/>
      <c r="L25"/>
      <c r="M25" s="490"/>
      <c r="N25" s="490"/>
      <c r="O25" s="490"/>
      <c r="P25"/>
      <c r="Q25" s="490"/>
      <c r="R25" s="708"/>
      <c r="S25" s="708"/>
    </row>
    <row r="26" spans="1:19" x14ac:dyDescent="0.35">
      <c r="A26" s="639" t="str">
        <f>Ruumid!A50</f>
        <v>1 korrus</v>
      </c>
      <c r="B26" s="641">
        <f>Ruumid!C50</f>
        <v>6651.4000000000015</v>
      </c>
      <c r="C26" s="641">
        <f>Ruumid!D50</f>
        <v>6651.4000000000015</v>
      </c>
      <c r="D26" s="641"/>
      <c r="E26" s="670"/>
      <c r="F26" s="670"/>
      <c r="G26" s="671"/>
      <c r="H26" s="671"/>
      <c r="I26" s="671"/>
      <c r="J26"/>
      <c r="K26"/>
      <c r="L26"/>
      <c r="M26" s="490"/>
      <c r="N26" s="490"/>
      <c r="O26" s="490"/>
      <c r="P26"/>
      <c r="Q26" s="708"/>
      <c r="R26" s="716"/>
      <c r="S26" s="708"/>
    </row>
    <row r="27" spans="1:19" x14ac:dyDescent="0.35">
      <c r="A27" s="611" t="str">
        <f>Ruumid!A51</f>
        <v>Väike stuudio (stuudio 2) koos abiruumidega</v>
      </c>
      <c r="B27" s="611">
        <f>Ruumid!C51</f>
        <v>1953.6000000000004</v>
      </c>
      <c r="C27" s="611">
        <f>Ruumid!D51</f>
        <v>1953.6000000000004</v>
      </c>
      <c r="D27" s="611" t="s">
        <v>496</v>
      </c>
      <c r="E27" s="611">
        <v>500</v>
      </c>
      <c r="F27" s="673">
        <v>0.5</v>
      </c>
      <c r="G27" s="626">
        <f>21*E27*F27</f>
        <v>5250</v>
      </c>
      <c r="H27" s="626">
        <f t="shared" ref="H27:H29" si="7">G27*12</f>
        <v>63000</v>
      </c>
      <c r="I27" s="627">
        <f t="shared" ref="I27:I29" si="8">H27/$H$33</f>
        <v>0.22987096576455085</v>
      </c>
      <c r="J27"/>
      <c r="K27" t="s">
        <v>275</v>
      </c>
      <c r="L27"/>
      <c r="M27" s="490">
        <f t="shared" ref="M27:M29" si="9">B27</f>
        <v>1953.6000000000004</v>
      </c>
      <c r="N27" s="490">
        <f>B27*F27</f>
        <v>976.80000000000018</v>
      </c>
      <c r="O27" s="490">
        <f t="shared" ref="O27:O29" si="10">M27-N27</f>
        <v>976.80000000000018</v>
      </c>
      <c r="P27"/>
      <c r="Q27" s="490">
        <f>21*12</f>
        <v>252</v>
      </c>
      <c r="R27" s="717">
        <f>$Q$27*F27</f>
        <v>126</v>
      </c>
      <c r="S27" s="708">
        <f>Q27-R27</f>
        <v>126</v>
      </c>
    </row>
    <row r="28" spans="1:19" x14ac:dyDescent="0.35">
      <c r="A28" s="611" t="str">
        <f>Ruumid!A53</f>
        <v>Suur stuudio (stuudio 1) koos abiruumidega</v>
      </c>
      <c r="B28" s="611">
        <f>Ruumid!C53</f>
        <v>2323.8000000000011</v>
      </c>
      <c r="C28" s="611">
        <f>Ruumid!D53</f>
        <v>2323.8000000000011</v>
      </c>
      <c r="D28" s="611" t="s">
        <v>496</v>
      </c>
      <c r="E28" s="611">
        <v>650</v>
      </c>
      <c r="F28" s="673">
        <v>0.5</v>
      </c>
      <c r="G28" s="626">
        <f>21*E28*F28</f>
        <v>6825</v>
      </c>
      <c r="H28" s="626">
        <f t="shared" si="7"/>
        <v>81900</v>
      </c>
      <c r="I28" s="627">
        <f t="shared" si="8"/>
        <v>0.29883225549391612</v>
      </c>
      <c r="J28"/>
      <c r="K28" t="s">
        <v>275</v>
      </c>
      <c r="L28"/>
      <c r="M28" s="490">
        <f t="shared" si="9"/>
        <v>2323.8000000000011</v>
      </c>
      <c r="N28" s="490">
        <f>B28*F28</f>
        <v>1161.9000000000005</v>
      </c>
      <c r="O28" s="490">
        <f t="shared" si="10"/>
        <v>1161.9000000000005</v>
      </c>
      <c r="P28"/>
      <c r="Q28" s="708">
        <f>Q27</f>
        <v>252</v>
      </c>
      <c r="R28" s="717">
        <f>Q27*F28</f>
        <v>126</v>
      </c>
      <c r="S28" s="708">
        <f>Q28-R28</f>
        <v>126</v>
      </c>
    </row>
    <row r="29" spans="1:19" x14ac:dyDescent="0.35">
      <c r="A29" s="611" t="str">
        <f>Ruumid!A56</f>
        <v>Laod ja töökojad</v>
      </c>
      <c r="B29" s="611">
        <f>Ruumid!C56</f>
        <v>1807.8</v>
      </c>
      <c r="C29" s="611">
        <f>Ruumid!D56</f>
        <v>1807.8</v>
      </c>
      <c r="D29" s="611" t="s">
        <v>495</v>
      </c>
      <c r="E29" s="611">
        <v>7</v>
      </c>
      <c r="F29" s="672">
        <v>0.5</v>
      </c>
      <c r="G29" s="626">
        <f>C29*E29*F29</f>
        <v>6327.3</v>
      </c>
      <c r="H29" s="626">
        <f t="shared" si="7"/>
        <v>75927.600000000006</v>
      </c>
      <c r="I29" s="627">
        <f t="shared" si="8"/>
        <v>0.2770404879394367</v>
      </c>
      <c r="J29"/>
      <c r="K29" t="s">
        <v>275</v>
      </c>
      <c r="L29"/>
      <c r="M29" s="490">
        <f t="shared" si="9"/>
        <v>1807.8</v>
      </c>
      <c r="N29" s="717">
        <f>B29*F29</f>
        <v>903.9</v>
      </c>
      <c r="O29" s="490">
        <f t="shared" si="10"/>
        <v>903.9</v>
      </c>
      <c r="P29"/>
      <c r="Q29" s="490"/>
      <c r="R29" s="708"/>
      <c r="S29" s="708"/>
    </row>
    <row r="30" spans="1:19" x14ac:dyDescent="0.35">
      <c r="A30" s="639" t="str">
        <f>Ruumid!A58</f>
        <v>2 korrus</v>
      </c>
      <c r="B30" s="641">
        <f>Ruumid!C58</f>
        <v>2089.6000000000004</v>
      </c>
      <c r="C30" s="641">
        <f>Ruumid!D58</f>
        <v>2089.6000000000004</v>
      </c>
      <c r="D30" s="641"/>
      <c r="E30" s="670"/>
      <c r="F30" s="670"/>
      <c r="G30" s="671"/>
      <c r="H30" s="671"/>
      <c r="I30" s="671"/>
      <c r="J30"/>
      <c r="K30"/>
      <c r="L30"/>
      <c r="M30" s="490"/>
      <c r="N30" s="490"/>
      <c r="O30" s="490"/>
      <c r="P30"/>
      <c r="Q30" s="490"/>
      <c r="R30" s="708"/>
      <c r="S30" s="708"/>
    </row>
    <row r="31" spans="1:19" x14ac:dyDescent="0.35">
      <c r="A31" s="651" t="str">
        <f>Ruumid!A62</f>
        <v>Muud üüriruumid (postproduction)</v>
      </c>
      <c r="B31" s="611">
        <f>Ruumid!C62</f>
        <v>1267.6000000000001</v>
      </c>
      <c r="C31" s="611">
        <f>Ruumid!D62</f>
        <v>1267.6000000000001</v>
      </c>
      <c r="D31" s="611" t="s">
        <v>495</v>
      </c>
      <c r="E31" s="611">
        <v>7</v>
      </c>
      <c r="F31" s="672">
        <v>0.5</v>
      </c>
      <c r="G31" s="626">
        <f t="shared" ref="G31" si="11">C31*E31*F31</f>
        <v>4436.6000000000004</v>
      </c>
      <c r="H31" s="626">
        <f>G31*12</f>
        <v>53239.200000000004</v>
      </c>
      <c r="I31" s="627">
        <f>H31/$H$33</f>
        <v>0.19425629080209644</v>
      </c>
      <c r="J31"/>
      <c r="K31" t="s">
        <v>275</v>
      </c>
      <c r="L31"/>
      <c r="M31" s="490">
        <f>B31</f>
        <v>1267.6000000000001</v>
      </c>
      <c r="N31" s="717">
        <f>B31*F31</f>
        <v>633.80000000000007</v>
      </c>
      <c r="O31" s="490">
        <f>M31-N31</f>
        <v>633.80000000000007</v>
      </c>
      <c r="P31"/>
      <c r="Q31" s="490"/>
      <c r="R31" s="708"/>
      <c r="S31" s="708"/>
    </row>
    <row r="32" spans="1:19" x14ac:dyDescent="0.35">
      <c r="A32" s="611"/>
      <c r="B32" s="611"/>
      <c r="C32" s="611"/>
      <c r="D32" s="611"/>
      <c r="E32" s="611"/>
      <c r="F32" s="611"/>
      <c r="G32" s="626"/>
      <c r="H32" s="626"/>
      <c r="I32" s="626"/>
      <c r="J32"/>
      <c r="K32"/>
      <c r="L32"/>
      <c r="M32" s="490"/>
      <c r="N32" s="490"/>
      <c r="O32" s="490"/>
      <c r="P32"/>
      <c r="Q32" s="490"/>
      <c r="R32" s="708"/>
      <c r="S32" s="708"/>
    </row>
    <row r="33" spans="1:19" x14ac:dyDescent="0.35">
      <c r="A33" s="677" t="s">
        <v>486</v>
      </c>
      <c r="B33" s="611"/>
      <c r="C33" s="611"/>
      <c r="D33" s="611"/>
      <c r="E33" s="611"/>
      <c r="F33" s="611"/>
      <c r="G33" s="678">
        <f>SUM(G7:G32)</f>
        <v>22838.9</v>
      </c>
      <c r="H33" s="678">
        <f>SUM(H7:H32)</f>
        <v>274066.8</v>
      </c>
      <c r="I33" s="678"/>
      <c r="J33"/>
      <c r="K33"/>
      <c r="L33"/>
      <c r="M33" s="505">
        <f>SUM(M27:M31)</f>
        <v>7352.800000000002</v>
      </c>
      <c r="N33" s="505">
        <f>SUM(N27:N31)</f>
        <v>3676.400000000001</v>
      </c>
      <c r="O33" s="505">
        <f>SUM(O27:O31)</f>
        <v>3676.400000000001</v>
      </c>
      <c r="P33"/>
      <c r="Q33" s="490"/>
      <c r="R33" s="708"/>
      <c r="S33" s="708"/>
    </row>
    <row r="34" spans="1:19" x14ac:dyDescent="0.35">
      <c r="A34" s="614"/>
      <c r="B34" s="614"/>
      <c r="C34" s="614"/>
      <c r="D34" s="614"/>
      <c r="E34" s="614"/>
      <c r="F34" s="614"/>
      <c r="G34" s="614"/>
      <c r="H34" s="614"/>
      <c r="I34" s="614"/>
      <c r="J34"/>
      <c r="K34"/>
      <c r="L34"/>
      <c r="M34"/>
      <c r="N34" s="494">
        <f>N33/M33</f>
        <v>0.5</v>
      </c>
      <c r="O34" s="494">
        <f>O33/M33</f>
        <v>0.5</v>
      </c>
      <c r="P34"/>
      <c r="Q34"/>
    </row>
    <row r="35" spans="1:19" x14ac:dyDescent="0.35">
      <c r="A35" s="646" t="s">
        <v>413</v>
      </c>
      <c r="B35" s="614"/>
      <c r="C35" s="614"/>
      <c r="D35" s="614"/>
      <c r="E35" s="614"/>
      <c r="F35" s="614"/>
      <c r="G35" s="614"/>
      <c r="H35" s="614"/>
      <c r="I35" s="614"/>
      <c r="J35"/>
      <c r="K35"/>
      <c r="L35"/>
      <c r="M35"/>
      <c r="N35"/>
      <c r="O35"/>
      <c r="P35"/>
      <c r="Q35"/>
    </row>
    <row r="36" spans="1:19" x14ac:dyDescent="0.35">
      <c r="A36" s="614"/>
      <c r="B36" s="614"/>
      <c r="C36" s="614"/>
      <c r="D36" s="614"/>
      <c r="E36" s="614"/>
      <c r="F36" s="614"/>
      <c r="G36" s="614"/>
      <c r="H36" s="614"/>
      <c r="I36" s="614"/>
      <c r="J36"/>
      <c r="K36"/>
      <c r="L36"/>
      <c r="M36"/>
      <c r="N36"/>
      <c r="O36"/>
      <c r="P36"/>
      <c r="Q36"/>
    </row>
    <row r="37" spans="1:19" hidden="1" x14ac:dyDescent="0.35">
      <c r="A37" s="614"/>
      <c r="B37" s="614"/>
      <c r="C37" s="614"/>
      <c r="D37" s="614"/>
      <c r="E37" s="614"/>
      <c r="F37" s="614"/>
      <c r="G37" s="614"/>
      <c r="H37" s="614"/>
      <c r="I37" s="614"/>
      <c r="J37"/>
      <c r="K37"/>
      <c r="L37"/>
      <c r="M37"/>
      <c r="N37"/>
      <c r="O37"/>
      <c r="P37"/>
      <c r="Q37"/>
    </row>
    <row r="38" spans="1:19" ht="29" x14ac:dyDescent="0.35">
      <c r="A38" s="679"/>
      <c r="B38" s="679"/>
      <c r="C38" s="679"/>
      <c r="D38" s="679"/>
      <c r="E38" s="679"/>
      <c r="F38" s="679"/>
      <c r="G38" s="680" t="s">
        <v>497</v>
      </c>
      <c r="H38" s="680" t="s">
        <v>498</v>
      </c>
      <c r="I38" s="680" t="s">
        <v>295</v>
      </c>
      <c r="J38" s="503"/>
      <c r="K38"/>
      <c r="L38"/>
      <c r="M38"/>
      <c r="N38"/>
      <c r="O38"/>
      <c r="P38"/>
      <c r="Q38"/>
    </row>
    <row r="39" spans="1:19" x14ac:dyDescent="0.35">
      <c r="A39" s="611" t="s">
        <v>299</v>
      </c>
      <c r="B39" s="611"/>
      <c r="C39" s="611"/>
      <c r="D39" s="611"/>
      <c r="E39" s="611"/>
      <c r="F39" s="611"/>
      <c r="G39" s="626">
        <f>H39/12</f>
        <v>2707.7644311200002</v>
      </c>
      <c r="H39" s="626">
        <f>Kulud50!F5</f>
        <v>32493.173173440002</v>
      </c>
      <c r="I39" s="627">
        <f>H39/$H$47</f>
        <v>0.44994653077636104</v>
      </c>
      <c r="J39" s="504"/>
      <c r="K39"/>
      <c r="L39"/>
      <c r="M39"/>
      <c r="N39"/>
      <c r="O39"/>
      <c r="P39"/>
      <c r="Q39"/>
    </row>
    <row r="40" spans="1:19" x14ac:dyDescent="0.35">
      <c r="A40" s="611" t="s">
        <v>487</v>
      </c>
      <c r="B40" s="611"/>
      <c r="C40" s="611"/>
      <c r="D40" s="611"/>
      <c r="E40" s="611"/>
      <c r="F40" s="611"/>
      <c r="G40" s="626">
        <f t="shared" ref="G40:G45" si="12">H40/12</f>
        <v>1088.9829166666671</v>
      </c>
      <c r="H40" s="626">
        <f>Kulud50!F14</f>
        <v>13067.795000000004</v>
      </c>
      <c r="I40" s="627">
        <f t="shared" ref="I40:I45" si="13">H40/$H$47</f>
        <v>0.18095521153818392</v>
      </c>
      <c r="J40" s="504"/>
      <c r="K40"/>
      <c r="L40"/>
      <c r="M40"/>
      <c r="N40"/>
      <c r="O40"/>
      <c r="P40"/>
      <c r="Q40"/>
    </row>
    <row r="41" spans="1:19" x14ac:dyDescent="0.35">
      <c r="A41" s="611" t="s">
        <v>414</v>
      </c>
      <c r="B41" s="611"/>
      <c r="C41" s="611"/>
      <c r="D41" s="611"/>
      <c r="E41" s="611"/>
      <c r="F41" s="611"/>
      <c r="G41" s="626">
        <f t="shared" si="12"/>
        <v>261.47200170000013</v>
      </c>
      <c r="H41" s="626">
        <f>Kulud50!F20</f>
        <v>3137.6640204000014</v>
      </c>
      <c r="I41" s="627">
        <f t="shared" si="13"/>
        <v>4.3448543273538552E-2</v>
      </c>
      <c r="J41" s="504"/>
      <c r="K41"/>
      <c r="L41"/>
      <c r="M41"/>
      <c r="N41"/>
      <c r="O41"/>
      <c r="P41"/>
      <c r="Q41"/>
    </row>
    <row r="42" spans="1:19" x14ac:dyDescent="0.35">
      <c r="A42" s="611" t="s">
        <v>488</v>
      </c>
      <c r="B42" s="611"/>
      <c r="C42" s="611"/>
      <c r="D42" s="611"/>
      <c r="E42" s="611"/>
      <c r="F42" s="611"/>
      <c r="G42" s="626">
        <f t="shared" si="12"/>
        <v>375</v>
      </c>
      <c r="H42" s="626">
        <f>Kulud50!F43</f>
        <v>4500</v>
      </c>
      <c r="I42" s="627">
        <f t="shared" si="13"/>
        <v>6.2313378188273344E-2</v>
      </c>
      <c r="J42" s="504"/>
      <c r="K42"/>
      <c r="L42"/>
      <c r="M42"/>
      <c r="N42"/>
      <c r="O42"/>
      <c r="P42"/>
      <c r="Q42"/>
    </row>
    <row r="43" spans="1:19" x14ac:dyDescent="0.35">
      <c r="A43" s="611" t="s">
        <v>419</v>
      </c>
      <c r="B43" s="611"/>
      <c r="C43" s="611"/>
      <c r="D43" s="611"/>
      <c r="E43" s="611"/>
      <c r="F43" s="611"/>
      <c r="G43" s="626">
        <f t="shared" si="12"/>
        <v>934.75</v>
      </c>
      <c r="H43" s="626">
        <f>Kulud50!F48</f>
        <v>11217</v>
      </c>
      <c r="I43" s="627">
        <f t="shared" si="13"/>
        <v>0.15532648069730268</v>
      </c>
      <c r="J43" s="504"/>
      <c r="K43"/>
      <c r="L43"/>
      <c r="M43"/>
      <c r="N43"/>
      <c r="O43"/>
      <c r="P43"/>
      <c r="Q43"/>
    </row>
    <row r="44" spans="1:19" x14ac:dyDescent="0.35">
      <c r="A44" s="611" t="s">
        <v>420</v>
      </c>
      <c r="B44" s="611"/>
      <c r="C44" s="611"/>
      <c r="D44" s="611"/>
      <c r="E44" s="611"/>
      <c r="F44" s="611"/>
      <c r="G44" s="626">
        <f t="shared" si="12"/>
        <v>500</v>
      </c>
      <c r="H44" s="626">
        <f>Kulud50!F54</f>
        <v>6000</v>
      </c>
      <c r="I44" s="627">
        <f t="shared" si="13"/>
        <v>8.3084504251031116E-2</v>
      </c>
      <c r="J44" s="504"/>
      <c r="K44"/>
      <c r="L44"/>
      <c r="M44"/>
      <c r="N44"/>
      <c r="O44"/>
      <c r="P44"/>
      <c r="Q44"/>
    </row>
    <row r="45" spans="1:19" x14ac:dyDescent="0.35">
      <c r="A45" s="626" t="s">
        <v>422</v>
      </c>
      <c r="B45" s="611"/>
      <c r="C45" s="611"/>
      <c r="D45" s="611"/>
      <c r="E45" s="611"/>
      <c r="F45" s="611"/>
      <c r="G45" s="626">
        <f t="shared" si="12"/>
        <v>150</v>
      </c>
      <c r="H45" s="626">
        <f>Kulud50!F56</f>
        <v>1800</v>
      </c>
      <c r="I45" s="627">
        <f t="shared" si="13"/>
        <v>2.4925351275309336E-2</v>
      </c>
      <c r="J45" s="504"/>
      <c r="K45"/>
      <c r="L45"/>
      <c r="M45"/>
      <c r="N45"/>
      <c r="O45"/>
      <c r="P45"/>
      <c r="Q45"/>
    </row>
    <row r="46" spans="1:19" x14ac:dyDescent="0.35">
      <c r="A46" s="611"/>
      <c r="B46" s="611"/>
      <c r="C46" s="611"/>
      <c r="D46" s="611"/>
      <c r="E46" s="611"/>
      <c r="F46" s="611"/>
      <c r="G46" s="626"/>
      <c r="H46" s="626"/>
      <c r="I46" s="627"/>
      <c r="J46" s="504"/>
      <c r="K46"/>
      <c r="L46"/>
      <c r="M46"/>
      <c r="N46"/>
      <c r="O46"/>
      <c r="P46"/>
      <c r="Q46"/>
    </row>
    <row r="47" spans="1:19" x14ac:dyDescent="0.35">
      <c r="A47" s="677" t="s">
        <v>489</v>
      </c>
      <c r="B47" s="611"/>
      <c r="C47" s="611"/>
      <c r="D47" s="611"/>
      <c r="E47" s="611"/>
      <c r="F47" s="611"/>
      <c r="G47" s="678">
        <f>SUM(G39:G46)</f>
        <v>6017.9693494866669</v>
      </c>
      <c r="H47" s="678">
        <f>SUM(H39:H46)</f>
        <v>72215.632193840007</v>
      </c>
      <c r="I47" s="681">
        <f>SUM(I39:I46)</f>
        <v>1</v>
      </c>
      <c r="J47" s="506"/>
      <c r="K47"/>
      <c r="L47"/>
      <c r="M47"/>
      <c r="N47"/>
      <c r="O47"/>
      <c r="P47"/>
      <c r="Q47"/>
    </row>
    <row r="48" spans="1:19" hidden="1" x14ac:dyDescent="0.35">
      <c r="A48"/>
      <c r="B48"/>
      <c r="C48"/>
      <c r="D48"/>
      <c r="E48"/>
      <c r="F48"/>
      <c r="G48"/>
      <c r="H48"/>
      <c r="I48"/>
      <c r="J48"/>
      <c r="K48"/>
      <c r="L48"/>
      <c r="M48"/>
      <c r="N48"/>
      <c r="O48"/>
      <c r="P48"/>
      <c r="Q48"/>
    </row>
    <row r="49" spans="1:17" hidden="1" x14ac:dyDescent="0.35">
      <c r="A49" s="629" t="s">
        <v>71</v>
      </c>
      <c r="B49" s="507"/>
      <c r="C49" s="507"/>
      <c r="D49" s="507"/>
      <c r="E49" s="507"/>
      <c r="F49" s="507"/>
      <c r="G49" s="508">
        <f>F36+G47</f>
        <v>6017.9693494866669</v>
      </c>
      <c r="H49" s="508">
        <f>G36+H47</f>
        <v>72215.632193840007</v>
      </c>
      <c r="I49" s="509"/>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s="502"/>
      <c r="I52"/>
      <c r="J52"/>
      <c r="K52"/>
      <c r="L52"/>
      <c r="M52"/>
      <c r="N52"/>
      <c r="O52"/>
      <c r="P52"/>
      <c r="Q5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3" workbookViewId="0">
      <selection activeCell="E9" sqref="E9"/>
    </sheetView>
  </sheetViews>
  <sheetFormatPr defaultColWidth="9.1796875" defaultRowHeight="14.5" x14ac:dyDescent="0.35"/>
  <cols>
    <col min="1" max="1" width="20.1796875" style="288" customWidth="1"/>
    <col min="2" max="2" width="13.54296875" style="280" customWidth="1"/>
    <col min="3" max="3" width="46.1796875" style="70" customWidth="1"/>
    <col min="4" max="4" width="3.81640625" style="70" customWidth="1"/>
    <col min="5" max="16384" width="9.1796875" style="70"/>
  </cols>
  <sheetData>
    <row r="1" spans="1:4" ht="26.25" customHeight="1" x14ac:dyDescent="0.35">
      <c r="A1" s="279" t="s">
        <v>156</v>
      </c>
      <c r="D1" s="277"/>
    </row>
    <row r="3" spans="1:4" ht="63" customHeight="1" x14ac:dyDescent="0.35">
      <c r="A3" s="281" t="s">
        <v>157</v>
      </c>
      <c r="B3" s="764" t="s">
        <v>576</v>
      </c>
      <c r="C3" s="764"/>
    </row>
    <row r="4" spans="1:4" x14ac:dyDescent="0.35">
      <c r="A4" s="282"/>
    </row>
    <row r="5" spans="1:4" ht="42" customHeight="1" x14ac:dyDescent="0.35">
      <c r="A5" s="281" t="s">
        <v>158</v>
      </c>
      <c r="B5" s="765" t="s">
        <v>408</v>
      </c>
      <c r="C5" s="765"/>
    </row>
    <row r="6" spans="1:4" ht="23.25" customHeight="1" x14ac:dyDescent="0.35">
      <c r="A6" s="281" t="s">
        <v>159</v>
      </c>
      <c r="B6" s="765" t="s">
        <v>409</v>
      </c>
      <c r="C6" s="765"/>
    </row>
    <row r="7" spans="1:4" ht="23.25" customHeight="1" x14ac:dyDescent="0.35">
      <c r="A7" s="281" t="s">
        <v>160</v>
      </c>
      <c r="B7" s="766" t="s">
        <v>410</v>
      </c>
      <c r="C7" s="766"/>
    </row>
    <row r="8" spans="1:4" ht="23.25" customHeight="1" x14ac:dyDescent="0.35">
      <c r="A8" s="281" t="s">
        <v>161</v>
      </c>
      <c r="B8" s="767" t="s">
        <v>411</v>
      </c>
      <c r="C8" s="767"/>
    </row>
    <row r="9" spans="1:4" x14ac:dyDescent="0.35">
      <c r="A9" s="282"/>
    </row>
    <row r="10" spans="1:4" ht="33.75" customHeight="1" x14ac:dyDescent="0.35">
      <c r="A10" s="281" t="s">
        <v>162</v>
      </c>
      <c r="B10" s="284">
        <v>2024</v>
      </c>
      <c r="C10" s="285"/>
    </row>
    <row r="11" spans="1:4" ht="35.25" customHeight="1" x14ac:dyDescent="0.35">
      <c r="A11" s="281" t="s">
        <v>163</v>
      </c>
      <c r="B11" s="284">
        <v>2038</v>
      </c>
      <c r="C11" s="285"/>
    </row>
    <row r="12" spans="1:4" ht="36" customHeight="1" x14ac:dyDescent="0.35">
      <c r="A12" s="281" t="s">
        <v>164</v>
      </c>
      <c r="B12" s="286">
        <v>15</v>
      </c>
      <c r="C12" s="287" t="s">
        <v>80</v>
      </c>
    </row>
    <row r="13" spans="1:4" ht="81" customHeight="1" x14ac:dyDescent="0.35">
      <c r="A13" s="281" t="s">
        <v>165</v>
      </c>
      <c r="B13" s="768" t="s">
        <v>407</v>
      </c>
      <c r="C13" s="769"/>
    </row>
    <row r="14" spans="1:4" x14ac:dyDescent="0.35">
      <c r="A14" s="282"/>
    </row>
    <row r="15" spans="1:4" ht="20.25" customHeight="1" x14ac:dyDescent="0.35">
      <c r="A15" s="288" t="s">
        <v>166</v>
      </c>
    </row>
    <row r="16" spans="1:4" ht="24.75" customHeight="1" x14ac:dyDescent="0.35">
      <c r="A16" s="281" t="s">
        <v>167</v>
      </c>
      <c r="B16" s="762">
        <v>45292</v>
      </c>
      <c r="C16" s="762"/>
    </row>
    <row r="17" spans="1:3" ht="24.75" customHeight="1" x14ac:dyDescent="0.35">
      <c r="A17" s="281" t="s">
        <v>168</v>
      </c>
      <c r="B17" s="762">
        <v>50770</v>
      </c>
      <c r="C17" s="762"/>
    </row>
    <row r="18" spans="1:3" x14ac:dyDescent="0.35">
      <c r="A18" s="289"/>
      <c r="B18" s="763"/>
      <c r="C18" s="763"/>
    </row>
    <row r="19" spans="1:3" ht="36.75" customHeight="1" x14ac:dyDescent="0.35">
      <c r="A19" s="281" t="s">
        <v>227</v>
      </c>
      <c r="B19" s="762">
        <v>45434</v>
      </c>
      <c r="C19" s="762"/>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xr:uid="{00000000-0004-0000-0100-000000000000}"/>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2D0F-6F75-4FF9-898D-71FB48AEB93E}">
  <sheetPr>
    <tabColor rgb="FFFF0000"/>
  </sheetPr>
  <dimension ref="A1:R77"/>
  <sheetViews>
    <sheetView workbookViewId="0">
      <pane xSplit="4" ySplit="2" topLeftCell="E62" activePane="bottomRight" state="frozen"/>
      <selection pane="topRight" activeCell="E1" sqref="E1"/>
      <selection pane="bottomLeft" activeCell="A3" sqref="A3"/>
      <selection pane="bottomRight" activeCell="A69" sqref="A69"/>
    </sheetView>
  </sheetViews>
  <sheetFormatPr defaultColWidth="9.1796875" defaultRowHeight="14.5" outlineLevelRow="1" outlineLevelCol="1" x14ac:dyDescent="0.35"/>
  <cols>
    <col min="1" max="1" width="32.81640625" style="365" customWidth="1"/>
    <col min="2" max="2" width="15.1796875" style="365" hidden="1" customWidth="1" outlineLevel="1"/>
    <col min="3" max="3" width="9.26953125" style="365" hidden="1" customWidth="1" outlineLevel="1"/>
    <col min="4" max="4" width="14.1796875" style="365" customWidth="1" collapsed="1"/>
    <col min="5" max="5" width="14.1796875" style="365" customWidth="1"/>
    <col min="6" max="6" width="14.81640625" style="365" hidden="1" customWidth="1" outlineLevel="1"/>
    <col min="7" max="7" width="17.453125" style="365" hidden="1" customWidth="1" outlineLevel="1"/>
    <col min="8" max="8" width="16.1796875" style="365" hidden="1" customWidth="1" outlineLevel="1"/>
    <col min="9" max="9" width="11.81640625" style="365" hidden="1" customWidth="1" outlineLevel="1"/>
    <col min="10" max="10" width="18.26953125" style="365" customWidth="1" collapsed="1"/>
    <col min="11" max="11" width="17" style="365" customWidth="1"/>
    <col min="12" max="16384" width="9.1796875" style="365"/>
  </cols>
  <sheetData>
    <row r="1" spans="1:18" x14ac:dyDescent="0.35">
      <c r="A1" s="682" t="s">
        <v>14</v>
      </c>
      <c r="B1" s="614"/>
      <c r="C1" s="614"/>
      <c r="D1" s="666"/>
      <c r="E1" s="666"/>
      <c r="F1" s="502"/>
      <c r="G1" s="496">
        <f>'5. Abikõlblik kulu'!D13</f>
        <v>0</v>
      </c>
      <c r="H1"/>
      <c r="I1"/>
      <c r="J1"/>
      <c r="K1"/>
      <c r="L1"/>
      <c r="M1"/>
      <c r="N1"/>
      <c r="O1"/>
      <c r="P1"/>
      <c r="Q1"/>
      <c r="R1"/>
    </row>
    <row r="2" spans="1:18" ht="43.5" x14ac:dyDescent="0.35">
      <c r="A2" s="611"/>
      <c r="B2" s="683"/>
      <c r="C2" s="617"/>
      <c r="D2" s="659" t="s">
        <v>499</v>
      </c>
      <c r="E2" s="659" t="s">
        <v>500</v>
      </c>
      <c r="F2" s="489" t="s">
        <v>297</v>
      </c>
      <c r="G2" s="489" t="s">
        <v>298</v>
      </c>
      <c r="H2"/>
      <c r="I2"/>
      <c r="J2"/>
      <c r="K2"/>
      <c r="L2"/>
      <c r="M2"/>
      <c r="N2"/>
      <c r="O2"/>
      <c r="P2"/>
      <c r="Q2"/>
      <c r="R2"/>
    </row>
    <row r="3" spans="1:18" x14ac:dyDescent="0.35">
      <c r="A3" s="684" t="s">
        <v>367</v>
      </c>
      <c r="B3" s="651"/>
      <c r="C3" s="685"/>
      <c r="D3" s="685"/>
      <c r="E3" s="685"/>
      <c r="F3" s="490"/>
      <c r="G3" s="490"/>
      <c r="H3"/>
      <c r="I3"/>
      <c r="J3"/>
      <c r="K3"/>
      <c r="L3"/>
      <c r="M3"/>
      <c r="N3"/>
      <c r="O3"/>
      <c r="P3"/>
      <c r="Q3"/>
      <c r="R3"/>
    </row>
    <row r="4" spans="1:18" x14ac:dyDescent="0.35">
      <c r="A4" s="651" t="s">
        <v>427</v>
      </c>
      <c r="B4" s="651"/>
      <c r="C4" s="685"/>
      <c r="D4" s="685">
        <f>E4/12</f>
        <v>7027.4557823066671</v>
      </c>
      <c r="E4" s="685">
        <f>E20+E14+E5</f>
        <v>84329.469387680001</v>
      </c>
      <c r="F4" s="510">
        <f t="shared" ref="F4:G4" si="0">F20+F14+F5</f>
        <v>48698.632193840007</v>
      </c>
      <c r="G4" s="510">
        <f t="shared" si="0"/>
        <v>35630.837193840001</v>
      </c>
      <c r="H4" s="511">
        <f t="shared" ref="H4:H11" si="1">G4/$G$62</f>
        <v>0.13413189577676271</v>
      </c>
      <c r="I4"/>
      <c r="J4"/>
      <c r="K4"/>
      <c r="L4"/>
      <c r="M4"/>
      <c r="N4"/>
      <c r="O4"/>
      <c r="P4"/>
      <c r="Q4"/>
      <c r="R4"/>
    </row>
    <row r="5" spans="1:18" ht="18.75" customHeight="1" x14ac:dyDescent="0.35">
      <c r="A5" s="650" t="s">
        <v>299</v>
      </c>
      <c r="B5" s="686" t="s">
        <v>575</v>
      </c>
      <c r="C5" s="685">
        <f>C6+C9</f>
        <v>1035.144096</v>
      </c>
      <c r="D5" s="687"/>
      <c r="E5" s="685">
        <f>E6+E9</f>
        <v>64986.346346880004</v>
      </c>
      <c r="F5" s="512">
        <f>F6+F9</f>
        <v>32493.173173440002</v>
      </c>
      <c r="G5" s="512">
        <f>E5-F5</f>
        <v>32493.173173440002</v>
      </c>
      <c r="H5" s="511">
        <f t="shared" si="1"/>
        <v>0.12232019398942579</v>
      </c>
      <c r="I5"/>
      <c r="J5"/>
      <c r="K5"/>
      <c r="L5"/>
      <c r="M5"/>
      <c r="N5"/>
      <c r="O5"/>
      <c r="P5"/>
      <c r="Q5"/>
      <c r="R5"/>
    </row>
    <row r="6" spans="1:18" hidden="1" outlineLevel="1" x14ac:dyDescent="0.35">
      <c r="A6" s="688" t="s">
        <v>449</v>
      </c>
      <c r="B6" s="686" t="s">
        <v>575</v>
      </c>
      <c r="C6" s="689">
        <f>SUM(C7:C8)</f>
        <v>1035.144096</v>
      </c>
      <c r="D6" s="687"/>
      <c r="E6" s="689">
        <f>SUM(E7:E8)</f>
        <v>64986.346346880004</v>
      </c>
      <c r="F6" s="513">
        <f>SUM(F7:F8)</f>
        <v>32493.173173440002</v>
      </c>
      <c r="G6" s="513">
        <f>E6-F6</f>
        <v>32493.173173440002</v>
      </c>
      <c r="H6" s="511">
        <f t="shared" si="1"/>
        <v>0.12232019398942579</v>
      </c>
      <c r="I6"/>
      <c r="J6"/>
      <c r="K6"/>
      <c r="L6"/>
      <c r="M6"/>
      <c r="N6"/>
      <c r="O6"/>
      <c r="P6"/>
      <c r="Q6"/>
      <c r="R6"/>
    </row>
    <row r="7" spans="1:18" hidden="1" outlineLevel="1" x14ac:dyDescent="0.35">
      <c r="A7" s="690" t="s">
        <v>502</v>
      </c>
      <c r="B7" s="686" t="s">
        <v>575</v>
      </c>
      <c r="C7" s="689">
        <f>Eeldused50!C13*(Eeldused50!C34*Ruumid!B64)/1000</f>
        <v>517.572048</v>
      </c>
      <c r="D7" s="691"/>
      <c r="E7" s="689">
        <f>C7*Eeldused50!$C$4</f>
        <v>32493.173173440002</v>
      </c>
      <c r="F7" s="513">
        <f>E7</f>
        <v>32493.173173440002</v>
      </c>
      <c r="G7" s="513">
        <f>E7-F7</f>
        <v>0</v>
      </c>
      <c r="H7" s="511">
        <f t="shared" si="1"/>
        <v>0</v>
      </c>
      <c r="I7"/>
      <c r="J7"/>
      <c r="K7"/>
      <c r="L7"/>
      <c r="M7"/>
      <c r="N7"/>
      <c r="O7"/>
      <c r="P7"/>
      <c r="Q7"/>
      <c r="R7"/>
    </row>
    <row r="8" spans="1:18" hidden="1" outlineLevel="1" x14ac:dyDescent="0.35">
      <c r="A8" s="692" t="s">
        <v>503</v>
      </c>
      <c r="B8" s="686" t="s">
        <v>575</v>
      </c>
      <c r="C8" s="689">
        <f>Eeldused50!D13*(Eeldused50!D34*Ruumid!B64)/1000</f>
        <v>517.572048</v>
      </c>
      <c r="D8" s="691"/>
      <c r="E8" s="689">
        <f>C8*Eeldused50!$C$4</f>
        <v>32493.173173440002</v>
      </c>
      <c r="F8" s="513"/>
      <c r="G8" s="513">
        <f>E8-F8</f>
        <v>32493.173173440002</v>
      </c>
      <c r="H8" s="511">
        <f t="shared" si="1"/>
        <v>0.12232019398942579</v>
      </c>
      <c r="I8"/>
      <c r="J8"/>
      <c r="K8"/>
      <c r="L8"/>
      <c r="M8"/>
      <c r="N8"/>
      <c r="O8"/>
      <c r="P8"/>
      <c r="Q8"/>
      <c r="R8"/>
    </row>
    <row r="9" spans="1:18" hidden="1" outlineLevel="1" x14ac:dyDescent="0.35">
      <c r="A9" s="688" t="s">
        <v>292</v>
      </c>
      <c r="B9" s="686" t="s">
        <v>575</v>
      </c>
      <c r="C9" s="689">
        <f>SUM(C10:C13)</f>
        <v>0</v>
      </c>
      <c r="D9" s="691"/>
      <c r="E9" s="689">
        <f>SUM(E10:E13)</f>
        <v>0</v>
      </c>
      <c r="F9" s="513">
        <f>SUM(F10:F13)</f>
        <v>0</v>
      </c>
      <c r="G9" s="513">
        <f>SUM(G10:G13)</f>
        <v>0</v>
      </c>
      <c r="H9" s="511">
        <f t="shared" si="1"/>
        <v>0</v>
      </c>
      <c r="I9"/>
      <c r="J9"/>
      <c r="K9"/>
      <c r="L9"/>
      <c r="M9"/>
      <c r="N9"/>
      <c r="O9"/>
      <c r="P9"/>
      <c r="Q9"/>
      <c r="R9"/>
    </row>
    <row r="10" spans="1:18" hidden="1" outlineLevel="1" x14ac:dyDescent="0.35">
      <c r="A10" s="690" t="s">
        <v>502</v>
      </c>
      <c r="B10" s="686" t="s">
        <v>575</v>
      </c>
      <c r="C10" s="689">
        <f>Eeldused50!C14*(Eeldused50!C36*Ruumid!B36)</f>
        <v>0</v>
      </c>
      <c r="D10" s="691"/>
      <c r="E10" s="689">
        <f>C10*Eeldused50!$C$4</f>
        <v>0</v>
      </c>
      <c r="F10" s="513">
        <f>E10</f>
        <v>0</v>
      </c>
      <c r="G10" s="513">
        <f>E10-F10</f>
        <v>0</v>
      </c>
      <c r="H10" s="511">
        <f t="shared" si="1"/>
        <v>0</v>
      </c>
      <c r="I10"/>
      <c r="J10"/>
      <c r="K10"/>
      <c r="L10"/>
      <c r="M10"/>
      <c r="N10"/>
      <c r="O10"/>
      <c r="P10"/>
      <c r="Q10"/>
      <c r="R10"/>
    </row>
    <row r="11" spans="1:18" ht="17.25" hidden="1" customHeight="1" outlineLevel="1" x14ac:dyDescent="0.35">
      <c r="A11" s="692" t="s">
        <v>503</v>
      </c>
      <c r="B11" s="686" t="s">
        <v>575</v>
      </c>
      <c r="C11" s="689">
        <f>Eeldused50!D14*(Eeldused50!D36*Ruumid!B36)</f>
        <v>0</v>
      </c>
      <c r="D11" s="691"/>
      <c r="E11" s="689">
        <f>C11*Eeldused50!$C$4</f>
        <v>0</v>
      </c>
      <c r="F11" s="513"/>
      <c r="G11" s="513">
        <f>E11</f>
        <v>0</v>
      </c>
      <c r="H11" s="511">
        <f t="shared" si="1"/>
        <v>0</v>
      </c>
      <c r="I11"/>
      <c r="J11"/>
      <c r="K11"/>
      <c r="L11"/>
      <c r="M11"/>
      <c r="N11"/>
      <c r="O11"/>
      <c r="P11"/>
      <c r="Q11"/>
      <c r="R11"/>
    </row>
    <row r="12" spans="1:18" ht="14.25" hidden="1" customHeight="1" outlineLevel="1" x14ac:dyDescent="0.35">
      <c r="A12" s="690"/>
      <c r="B12" s="686"/>
      <c r="C12" s="689"/>
      <c r="D12" s="691"/>
      <c r="E12" s="689"/>
      <c r="F12" s="514"/>
      <c r="G12" s="515"/>
      <c r="H12" s="511"/>
      <c r="I12"/>
      <c r="J12"/>
      <c r="K12"/>
      <c r="L12"/>
      <c r="M12"/>
      <c r="N12"/>
      <c r="O12"/>
      <c r="P12"/>
      <c r="Q12"/>
      <c r="R12"/>
    </row>
    <row r="13" spans="1:18" hidden="1" outlineLevel="1" x14ac:dyDescent="0.35">
      <c r="A13" s="690"/>
      <c r="B13" s="686"/>
      <c r="C13" s="689"/>
      <c r="D13" s="691"/>
      <c r="E13" s="689"/>
      <c r="F13" s="514"/>
      <c r="G13" s="515"/>
      <c r="H13" s="511"/>
      <c r="I13"/>
      <c r="J13"/>
      <c r="K13"/>
      <c r="L13"/>
      <c r="M13"/>
      <c r="N13"/>
      <c r="O13"/>
      <c r="P13"/>
      <c r="Q13"/>
      <c r="R13"/>
    </row>
    <row r="14" spans="1:18" collapsed="1" x14ac:dyDescent="0.35">
      <c r="A14" s="650" t="s">
        <v>300</v>
      </c>
      <c r="B14" s="686" t="s">
        <v>504</v>
      </c>
      <c r="C14" s="685">
        <f>C15+C17</f>
        <v>87410.000000000015</v>
      </c>
      <c r="D14" s="687"/>
      <c r="E14" s="685">
        <f>E15+E17</f>
        <v>13067.795000000004</v>
      </c>
      <c r="F14" s="512">
        <f>F15+F17</f>
        <v>13067.795000000004</v>
      </c>
      <c r="G14" s="512">
        <f>G15+G17</f>
        <v>0</v>
      </c>
      <c r="H14" s="516">
        <f t="shared" ref="H14:H39" si="2">G14/$G$62</f>
        <v>0</v>
      </c>
      <c r="I14"/>
      <c r="J14"/>
      <c r="K14"/>
      <c r="L14"/>
      <c r="M14"/>
      <c r="N14"/>
      <c r="O14"/>
      <c r="P14"/>
      <c r="Q14"/>
      <c r="R14"/>
    </row>
    <row r="15" spans="1:18" hidden="1" outlineLevel="1" x14ac:dyDescent="0.35">
      <c r="A15" s="688" t="str">
        <f>A6</f>
        <v>Stuudio</v>
      </c>
      <c r="B15" s="686" t="s">
        <v>505</v>
      </c>
      <c r="C15" s="689">
        <f>C16</f>
        <v>87410.000000000015</v>
      </c>
      <c r="D15" s="691"/>
      <c r="E15" s="689">
        <f>E16</f>
        <v>13067.795000000004</v>
      </c>
      <c r="F15" s="513">
        <f>F16</f>
        <v>13067.795000000004</v>
      </c>
      <c r="G15" s="513">
        <f>G16</f>
        <v>0</v>
      </c>
      <c r="H15" s="516">
        <f t="shared" si="2"/>
        <v>0</v>
      </c>
      <c r="I15"/>
      <c r="J15"/>
      <c r="K15"/>
      <c r="L15"/>
      <c r="M15"/>
      <c r="N15"/>
      <c r="O15"/>
      <c r="P15"/>
      <c r="Q15"/>
      <c r="R15"/>
    </row>
    <row r="16" spans="1:18" hidden="1" outlineLevel="1" x14ac:dyDescent="0.35">
      <c r="A16" s="690" t="s">
        <v>502</v>
      </c>
      <c r="B16" s="686" t="s">
        <v>505</v>
      </c>
      <c r="C16" s="689">
        <f>Eeldused50!C16*Eeldused50!H42*(Eeldused50!C25*Eeldused50!C34)/1000</f>
        <v>87410.000000000015</v>
      </c>
      <c r="D16" s="691"/>
      <c r="E16" s="689">
        <f>C16*Eeldused50!C5</f>
        <v>13067.795000000004</v>
      </c>
      <c r="F16" s="513">
        <f>E16</f>
        <v>13067.795000000004</v>
      </c>
      <c r="G16" s="513"/>
      <c r="H16" s="516">
        <f t="shared" si="2"/>
        <v>0</v>
      </c>
      <c r="I16"/>
      <c r="J16"/>
      <c r="K16"/>
      <c r="L16"/>
      <c r="M16"/>
      <c r="N16"/>
      <c r="O16"/>
      <c r="P16"/>
      <c r="Q16"/>
      <c r="R16"/>
    </row>
    <row r="17" spans="1:18" hidden="1" outlineLevel="1" x14ac:dyDescent="0.35">
      <c r="A17" s="688" t="str">
        <f>A9</f>
        <v>Inkubaator</v>
      </c>
      <c r="B17" s="686" t="s">
        <v>505</v>
      </c>
      <c r="C17" s="689">
        <f>SUM(C18:C19)</f>
        <v>0</v>
      </c>
      <c r="D17" s="691"/>
      <c r="E17" s="689">
        <f>SUM(E18:E19)</f>
        <v>0</v>
      </c>
      <c r="F17" s="513">
        <f>SUM(F18:F19)</f>
        <v>0</v>
      </c>
      <c r="G17" s="513">
        <f>SUM(G18:G19)</f>
        <v>0</v>
      </c>
      <c r="H17" s="516">
        <f t="shared" si="2"/>
        <v>0</v>
      </c>
      <c r="I17"/>
      <c r="J17"/>
      <c r="K17"/>
      <c r="L17"/>
      <c r="M17"/>
      <c r="N17"/>
      <c r="O17"/>
      <c r="P17"/>
      <c r="Q17"/>
      <c r="R17"/>
    </row>
    <row r="18" spans="1:18" hidden="1" outlineLevel="1" x14ac:dyDescent="0.35">
      <c r="A18" s="690" t="s">
        <v>502</v>
      </c>
      <c r="B18" s="686" t="s">
        <v>505</v>
      </c>
      <c r="C18" s="689">
        <f>Eeldused50!C17*Eeldused50!H43*(Eeldused50!C27*Eeldused50!C36)/1000</f>
        <v>0</v>
      </c>
      <c r="D18" s="691"/>
      <c r="E18" s="689">
        <f>C18*Eeldused50!$C$5</f>
        <v>0</v>
      </c>
      <c r="F18" s="513">
        <f>E18</f>
        <v>0</v>
      </c>
      <c r="G18" s="513"/>
      <c r="H18" s="516">
        <f t="shared" si="2"/>
        <v>0</v>
      </c>
      <c r="I18"/>
      <c r="J18"/>
      <c r="K18"/>
      <c r="L18"/>
      <c r="M18"/>
      <c r="N18"/>
      <c r="O18"/>
      <c r="P18"/>
      <c r="Q18"/>
      <c r="R18"/>
    </row>
    <row r="19" spans="1:18" hidden="1" outlineLevel="1" x14ac:dyDescent="0.35">
      <c r="A19" s="692" t="s">
        <v>506</v>
      </c>
      <c r="B19" s="686" t="s">
        <v>505</v>
      </c>
      <c r="C19" s="689">
        <f>Eeldused50!C17*Eeldused50!H43*(Eeldused50!C27*Eeldused50!D36-Eeldused50!E27)/1000</f>
        <v>0</v>
      </c>
      <c r="D19" s="691"/>
      <c r="E19" s="689">
        <f>C19*Eeldused50!C5</f>
        <v>0</v>
      </c>
      <c r="F19" s="513"/>
      <c r="G19" s="513">
        <f>E19-F19</f>
        <v>0</v>
      </c>
      <c r="H19" s="516">
        <f t="shared" si="2"/>
        <v>0</v>
      </c>
      <c r="I19"/>
      <c r="J19"/>
      <c r="K19"/>
      <c r="L19"/>
      <c r="M19"/>
      <c r="N19"/>
      <c r="O19"/>
      <c r="P19"/>
      <c r="Q19"/>
      <c r="R19"/>
    </row>
    <row r="20" spans="1:18" collapsed="1" x14ac:dyDescent="0.35">
      <c r="A20" s="650" t="s">
        <v>414</v>
      </c>
      <c r="B20" s="651" t="s">
        <v>406</v>
      </c>
      <c r="C20" s="685">
        <f>SUM(C21:C22)</f>
        <v>2316.132000000001</v>
      </c>
      <c r="D20" s="685"/>
      <c r="E20" s="685">
        <f>C20*Eeldused50!C8+C21*Eeldused50!C6+C22*Eeldused50!C20</f>
        <v>6275.3280408000028</v>
      </c>
      <c r="F20" s="498">
        <f>E20*Eeldused50!C38</f>
        <v>3137.6640204000014</v>
      </c>
      <c r="G20" s="499">
        <f>E20*Eeldused50!D38</f>
        <v>3137.6640204000014</v>
      </c>
      <c r="H20" s="516">
        <f t="shared" si="2"/>
        <v>1.1811701787336934E-2</v>
      </c>
      <c r="I20"/>
      <c r="J20"/>
      <c r="K20"/>
      <c r="L20"/>
      <c r="M20"/>
      <c r="N20"/>
      <c r="O20"/>
      <c r="P20"/>
      <c r="Q20"/>
      <c r="R20"/>
    </row>
    <row r="21" spans="1:18" hidden="1" outlineLevel="1" x14ac:dyDescent="0.35">
      <c r="A21" s="690" t="s">
        <v>415</v>
      </c>
      <c r="B21" s="651" t="s">
        <v>406</v>
      </c>
      <c r="C21" s="685">
        <f>Eeldused50!C19*Eeldused50!C49*12</f>
        <v>1389.6792000000005</v>
      </c>
      <c r="D21" s="685"/>
      <c r="E21" s="685"/>
      <c r="F21" s="497"/>
      <c r="G21" s="497"/>
      <c r="H21" s="516">
        <f t="shared" si="2"/>
        <v>0</v>
      </c>
      <c r="I21"/>
      <c r="J21"/>
      <c r="K21"/>
      <c r="L21"/>
      <c r="M21"/>
      <c r="N21"/>
      <c r="O21"/>
      <c r="P21"/>
      <c r="Q21"/>
      <c r="R21"/>
    </row>
    <row r="22" spans="1:18" hidden="1" outlineLevel="1" x14ac:dyDescent="0.35">
      <c r="A22" s="690" t="s">
        <v>416</v>
      </c>
      <c r="B22" s="651" t="s">
        <v>406</v>
      </c>
      <c r="C22" s="685">
        <f>Eeldused50!C20*Eeldused50!C49*12</f>
        <v>926.45280000000048</v>
      </c>
      <c r="D22" s="685"/>
      <c r="E22" s="685"/>
      <c r="F22" s="497"/>
      <c r="G22" s="497"/>
      <c r="H22" s="516">
        <f t="shared" si="2"/>
        <v>0</v>
      </c>
      <c r="I22"/>
      <c r="J22"/>
      <c r="K22"/>
      <c r="L22"/>
      <c r="M22"/>
      <c r="N22"/>
      <c r="O22"/>
      <c r="P22"/>
      <c r="Q22"/>
      <c r="R22"/>
    </row>
    <row r="23" spans="1:18" hidden="1" collapsed="1" x14ac:dyDescent="0.35">
      <c r="A23" s="650"/>
      <c r="B23" s="651"/>
      <c r="C23" s="685"/>
      <c r="D23" s="611"/>
      <c r="E23" s="685"/>
      <c r="F23" s="514"/>
      <c r="G23" s="515"/>
      <c r="H23" s="511">
        <f t="shared" si="2"/>
        <v>0</v>
      </c>
      <c r="I23"/>
      <c r="J23"/>
      <c r="K23"/>
      <c r="L23"/>
      <c r="M23"/>
      <c r="N23"/>
      <c r="O23"/>
      <c r="P23"/>
      <c r="Q23"/>
      <c r="R23"/>
    </row>
    <row r="24" spans="1:18" hidden="1" x14ac:dyDescent="0.35">
      <c r="A24" s="618"/>
      <c r="B24" s="686"/>
      <c r="C24" s="685"/>
      <c r="D24" s="611"/>
      <c r="E24" s="685"/>
      <c r="F24" s="517"/>
      <c r="G24" s="515"/>
      <c r="H24" s="511">
        <f t="shared" si="2"/>
        <v>0</v>
      </c>
      <c r="I24"/>
      <c r="J24"/>
      <c r="K24"/>
      <c r="L24"/>
      <c r="M24"/>
      <c r="N24"/>
      <c r="O24"/>
      <c r="P24"/>
      <c r="Q24"/>
      <c r="R24"/>
    </row>
    <row r="25" spans="1:18" ht="19.5" customHeight="1" x14ac:dyDescent="0.35">
      <c r="A25" s="651" t="s">
        <v>426</v>
      </c>
      <c r="B25" s="650"/>
      <c r="C25" s="687"/>
      <c r="D25" s="685">
        <f>SUM(D26:D28)</f>
        <v>7417.8720000000003</v>
      </c>
      <c r="E25" s="685">
        <f>SUM(E26:E28)</f>
        <v>89014.464000000007</v>
      </c>
      <c r="F25" s="517">
        <f>SUM(F26:F28)</f>
        <v>0</v>
      </c>
      <c r="G25" s="500">
        <f>SUM(G26:G28)</f>
        <v>89014.464000000007</v>
      </c>
      <c r="H25" s="511">
        <f t="shared" si="2"/>
        <v>0.33509397331636587</v>
      </c>
      <c r="I25"/>
      <c r="J25" t="s">
        <v>529</v>
      </c>
      <c r="K25"/>
      <c r="L25"/>
      <c r="M25"/>
      <c r="N25"/>
      <c r="O25"/>
      <c r="P25"/>
      <c r="Q25"/>
      <c r="R25"/>
    </row>
    <row r="26" spans="1:18" ht="33.75" customHeight="1" outlineLevel="1" x14ac:dyDescent="0.35">
      <c r="A26" s="650" t="s">
        <v>544</v>
      </c>
      <c r="B26" s="693" t="s">
        <v>301</v>
      </c>
      <c r="C26" s="685">
        <v>2772</v>
      </c>
      <c r="D26" s="685">
        <f>C26*J26*1.338</f>
        <v>3708.9360000000001</v>
      </c>
      <c r="E26" s="685">
        <f>D26*12</f>
        <v>44507.232000000004</v>
      </c>
      <c r="F26" s="518"/>
      <c r="G26" s="500">
        <f>E26</f>
        <v>44507.232000000004</v>
      </c>
      <c r="H26" s="511">
        <f t="shared" si="2"/>
        <v>0.16754698665818293</v>
      </c>
      <c r="I26"/>
      <c r="J26" s="713">
        <v>1</v>
      </c>
      <c r="K26"/>
      <c r="L26"/>
      <c r="M26"/>
      <c r="N26"/>
      <c r="O26"/>
      <c r="P26"/>
      <c r="Q26"/>
      <c r="R26"/>
    </row>
    <row r="27" spans="1:18" ht="32.25" customHeight="1" outlineLevel="1" x14ac:dyDescent="0.35">
      <c r="A27" s="650" t="s">
        <v>545</v>
      </c>
      <c r="B27" s="693" t="s">
        <v>301</v>
      </c>
      <c r="C27" s="685">
        <v>2772</v>
      </c>
      <c r="D27" s="685">
        <f t="shared" ref="D27:D28" si="3">C27*J27*1.338</f>
        <v>3708.9360000000001</v>
      </c>
      <c r="E27" s="685">
        <f>D27*12</f>
        <v>44507.232000000004</v>
      </c>
      <c r="F27" s="518"/>
      <c r="G27" s="500">
        <f>E27</f>
        <v>44507.232000000004</v>
      </c>
      <c r="H27" s="511">
        <f t="shared" si="2"/>
        <v>0.16754698665818293</v>
      </c>
      <c r="I27"/>
      <c r="J27" s="713">
        <v>1</v>
      </c>
      <c r="K27"/>
      <c r="L27"/>
      <c r="M27"/>
      <c r="N27"/>
      <c r="O27"/>
      <c r="P27"/>
      <c r="Q27"/>
      <c r="R27"/>
    </row>
    <row r="28" spans="1:18" ht="13.5" hidden="1" customHeight="1" x14ac:dyDescent="0.35">
      <c r="A28" s="650"/>
      <c r="B28" s="611"/>
      <c r="C28" s="685"/>
      <c r="D28" s="685">
        <f t="shared" si="3"/>
        <v>0</v>
      </c>
      <c r="E28" s="685"/>
      <c r="F28" s="518"/>
      <c r="G28" s="500"/>
      <c r="H28" s="511">
        <f t="shared" si="2"/>
        <v>0</v>
      </c>
      <c r="I28"/>
      <c r="J28" s="713"/>
      <c r="K28"/>
      <c r="L28"/>
      <c r="M28"/>
      <c r="N28"/>
      <c r="O28"/>
      <c r="P28"/>
      <c r="Q28"/>
      <c r="R28"/>
    </row>
    <row r="29" spans="1:18" x14ac:dyDescent="0.35">
      <c r="A29" s="651" t="s">
        <v>424</v>
      </c>
      <c r="B29" s="694"/>
      <c r="C29" s="695"/>
      <c r="D29" s="685">
        <f>E29/12</f>
        <v>2250</v>
      </c>
      <c r="E29" s="695">
        <f>SUM(E30:E30)</f>
        <v>27000</v>
      </c>
      <c r="F29" s="517">
        <f>SUM(F30:F30)</f>
        <v>0</v>
      </c>
      <c r="G29" s="500">
        <f>SUM(G30:G30)</f>
        <v>27000</v>
      </c>
      <c r="H29" s="511">
        <f t="shared" si="2"/>
        <v>0.10164120383336665</v>
      </c>
      <c r="I29"/>
      <c r="J29"/>
      <c r="K29"/>
      <c r="L29"/>
      <c r="M29"/>
      <c r="N29"/>
      <c r="O29"/>
      <c r="P29"/>
      <c r="Q29"/>
      <c r="R29"/>
    </row>
    <row r="30" spans="1:18" hidden="1" outlineLevel="1" x14ac:dyDescent="0.35">
      <c r="A30" s="650" t="s">
        <v>425</v>
      </c>
      <c r="B30" s="651"/>
      <c r="C30" s="685"/>
      <c r="D30" s="685">
        <f>2700-450</f>
        <v>2250</v>
      </c>
      <c r="E30" s="685">
        <f>D30*12</f>
        <v>27000</v>
      </c>
      <c r="F30" s="518"/>
      <c r="G30" s="517">
        <f>E30</f>
        <v>27000</v>
      </c>
      <c r="H30" s="511">
        <f t="shared" si="2"/>
        <v>0.10164120383336665</v>
      </c>
      <c r="I30"/>
      <c r="J30"/>
      <c r="K30"/>
      <c r="L30"/>
      <c r="M30"/>
      <c r="N30"/>
      <c r="O30"/>
      <c r="P30"/>
      <c r="Q30"/>
      <c r="R30"/>
    </row>
    <row r="31" spans="1:18" collapsed="1" x14ac:dyDescent="0.35">
      <c r="A31" s="651" t="s">
        <v>417</v>
      </c>
      <c r="B31" s="651"/>
      <c r="C31" s="685"/>
      <c r="D31" s="685">
        <f>E31/12</f>
        <v>1750</v>
      </c>
      <c r="E31" s="685">
        <f>E32+E33</f>
        <v>21000</v>
      </c>
      <c r="F31" s="517">
        <f>SUM(F32:F33)</f>
        <v>0</v>
      </c>
      <c r="G31" s="517">
        <f>SUM(G32:G33)</f>
        <v>21000</v>
      </c>
      <c r="H31" s="511">
        <f t="shared" si="2"/>
        <v>7.9054269648174066E-2</v>
      </c>
      <c r="I31"/>
      <c r="J31"/>
      <c r="K31"/>
      <c r="L31"/>
      <c r="M31"/>
      <c r="N31"/>
      <c r="O31"/>
      <c r="P31"/>
      <c r="Q31"/>
      <c r="R31"/>
    </row>
    <row r="32" spans="1:18" ht="22" hidden="1" outlineLevel="1" x14ac:dyDescent="0.35">
      <c r="A32" s="650" t="s">
        <v>302</v>
      </c>
      <c r="B32" s="693" t="s">
        <v>303</v>
      </c>
      <c r="C32" s="685"/>
      <c r="D32" s="685">
        <f>2000-500</f>
        <v>1500</v>
      </c>
      <c r="E32" s="685">
        <f>D32*12</f>
        <v>18000</v>
      </c>
      <c r="F32" s="518"/>
      <c r="G32" s="517">
        <f>E32</f>
        <v>18000</v>
      </c>
      <c r="H32" s="511">
        <f t="shared" si="2"/>
        <v>6.7760802555577759E-2</v>
      </c>
      <c r="I32"/>
      <c r="J32"/>
      <c r="K32"/>
      <c r="L32"/>
      <c r="M32"/>
      <c r="N32"/>
      <c r="O32"/>
      <c r="P32"/>
      <c r="Q32"/>
      <c r="R32"/>
    </row>
    <row r="33" spans="1:18" ht="29" hidden="1" outlineLevel="1" x14ac:dyDescent="0.35">
      <c r="A33" s="650" t="s">
        <v>304</v>
      </c>
      <c r="B33" s="651"/>
      <c r="C33" s="685"/>
      <c r="D33" s="685">
        <f>400-200+50</f>
        <v>250</v>
      </c>
      <c r="E33" s="685">
        <f>D33*12</f>
        <v>3000</v>
      </c>
      <c r="F33" s="518"/>
      <c r="G33" s="517">
        <f>E33</f>
        <v>3000</v>
      </c>
      <c r="H33" s="511">
        <f t="shared" si="2"/>
        <v>1.1293467092596295E-2</v>
      </c>
      <c r="I33"/>
      <c r="J33"/>
      <c r="K33"/>
      <c r="L33"/>
      <c r="M33"/>
      <c r="N33"/>
      <c r="O33"/>
      <c r="P33"/>
      <c r="Q33"/>
      <c r="R33"/>
    </row>
    <row r="34" spans="1:18" hidden="1" collapsed="1" x14ac:dyDescent="0.35">
      <c r="A34" s="650"/>
      <c r="B34" s="651"/>
      <c r="C34" s="685"/>
      <c r="D34" s="685"/>
      <c r="E34" s="685"/>
      <c r="F34" s="518"/>
      <c r="G34" s="517"/>
      <c r="H34" s="511">
        <f t="shared" si="2"/>
        <v>0</v>
      </c>
      <c r="I34"/>
      <c r="J34"/>
      <c r="K34"/>
      <c r="L34"/>
      <c r="M34"/>
      <c r="N34"/>
      <c r="O34"/>
      <c r="P34"/>
      <c r="Q34"/>
      <c r="R34"/>
    </row>
    <row r="35" spans="1:18" hidden="1" x14ac:dyDescent="0.35">
      <c r="A35" s="650"/>
      <c r="B35" s="651"/>
      <c r="C35" s="685"/>
      <c r="D35" s="685"/>
      <c r="E35" s="685"/>
      <c r="F35" s="518"/>
      <c r="G35" s="517"/>
      <c r="H35" s="511">
        <f t="shared" si="2"/>
        <v>0</v>
      </c>
      <c r="I35"/>
      <c r="J35"/>
      <c r="K35"/>
      <c r="L35"/>
      <c r="M35"/>
      <c r="N35"/>
      <c r="O35"/>
      <c r="P35"/>
      <c r="Q35"/>
      <c r="R35"/>
    </row>
    <row r="36" spans="1:18" x14ac:dyDescent="0.35">
      <c r="A36" s="651" t="s">
        <v>418</v>
      </c>
      <c r="B36" s="651"/>
      <c r="C36" s="685"/>
      <c r="D36" s="685">
        <f>E36/12</f>
        <v>4583.333333333333</v>
      </c>
      <c r="E36" s="685">
        <f>SUM(E37:E42)</f>
        <v>55000</v>
      </c>
      <c r="F36" s="518">
        <f t="shared" ref="F36:G36" si="4">SUM(F37:F42)</f>
        <v>0</v>
      </c>
      <c r="G36" s="517">
        <f t="shared" si="4"/>
        <v>55000</v>
      </c>
      <c r="H36" s="511">
        <f t="shared" si="2"/>
        <v>0.20704689669759874</v>
      </c>
      <c r="I36"/>
      <c r="J36"/>
      <c r="K36"/>
      <c r="L36"/>
      <c r="M36"/>
      <c r="N36"/>
      <c r="O36"/>
      <c r="P36"/>
      <c r="Q36"/>
      <c r="R36"/>
    </row>
    <row r="37" spans="1:18" ht="29" hidden="1" x14ac:dyDescent="0.35">
      <c r="A37" s="650" t="s">
        <v>305</v>
      </c>
      <c r="B37" s="651"/>
      <c r="C37" s="685"/>
      <c r="D37" s="685"/>
      <c r="E37" s="685">
        <v>55000</v>
      </c>
      <c r="F37" s="518"/>
      <c r="G37" s="517">
        <f>E37</f>
        <v>55000</v>
      </c>
      <c r="H37" s="511">
        <f t="shared" si="2"/>
        <v>0.20704689669759874</v>
      </c>
      <c r="I37"/>
      <c r="J37"/>
      <c r="K37"/>
      <c r="L37"/>
      <c r="M37"/>
      <c r="N37"/>
      <c r="O37"/>
      <c r="P37"/>
      <c r="Q37"/>
      <c r="R37"/>
    </row>
    <row r="38" spans="1:18" hidden="1" x14ac:dyDescent="0.35">
      <c r="A38" s="650"/>
      <c r="B38" s="651"/>
      <c r="C38" s="685"/>
      <c r="D38" s="685"/>
      <c r="E38" s="685"/>
      <c r="F38" s="518"/>
      <c r="G38" s="517"/>
      <c r="H38" s="511">
        <f t="shared" si="2"/>
        <v>0</v>
      </c>
      <c r="I38"/>
      <c r="J38"/>
      <c r="K38"/>
      <c r="L38"/>
      <c r="M38"/>
      <c r="N38"/>
      <c r="O38"/>
      <c r="P38"/>
      <c r="Q38"/>
      <c r="R38"/>
    </row>
    <row r="39" spans="1:18" hidden="1" x14ac:dyDescent="0.35">
      <c r="A39" s="650"/>
      <c r="B39" s="651"/>
      <c r="C39" s="685"/>
      <c r="D39" s="685"/>
      <c r="E39" s="685"/>
      <c r="F39" s="518"/>
      <c r="G39" s="517"/>
      <c r="H39" s="511">
        <f t="shared" si="2"/>
        <v>0</v>
      </c>
      <c r="I39"/>
      <c r="J39"/>
      <c r="K39"/>
      <c r="L39"/>
      <c r="M39"/>
      <c r="N39"/>
      <c r="O39"/>
      <c r="P39"/>
      <c r="Q39"/>
      <c r="R39"/>
    </row>
    <row r="40" spans="1:18" hidden="1" x14ac:dyDescent="0.35">
      <c r="A40" s="650"/>
      <c r="B40" s="651"/>
      <c r="C40" s="685"/>
      <c r="D40" s="685"/>
      <c r="E40" s="685"/>
      <c r="F40" s="518"/>
      <c r="G40" s="517"/>
      <c r="H40" s="511"/>
      <c r="I40"/>
      <c r="J40"/>
      <c r="K40"/>
      <c r="L40"/>
      <c r="M40"/>
      <c r="N40"/>
      <c r="O40"/>
      <c r="P40"/>
      <c r="Q40"/>
      <c r="R40"/>
    </row>
    <row r="41" spans="1:18" hidden="1" x14ac:dyDescent="0.35">
      <c r="A41" s="650"/>
      <c r="B41" s="651"/>
      <c r="C41" s="685"/>
      <c r="D41" s="685"/>
      <c r="E41" s="685"/>
      <c r="F41" s="518"/>
      <c r="G41" s="517"/>
      <c r="H41" s="511"/>
      <c r="I41"/>
      <c r="J41"/>
      <c r="K41"/>
      <c r="L41"/>
      <c r="M41"/>
      <c r="N41"/>
      <c r="O41"/>
      <c r="P41"/>
      <c r="Q41"/>
      <c r="R41"/>
    </row>
    <row r="42" spans="1:18" hidden="1" x14ac:dyDescent="0.35">
      <c r="A42" s="650"/>
      <c r="B42" s="651"/>
      <c r="C42" s="685"/>
      <c r="D42" s="685"/>
      <c r="E42" s="685"/>
      <c r="F42" s="518"/>
      <c r="G42" s="517"/>
      <c r="H42" s="511"/>
      <c r="I42"/>
      <c r="J42"/>
      <c r="K42"/>
      <c r="L42"/>
      <c r="M42"/>
      <c r="N42"/>
      <c r="O42"/>
      <c r="P42"/>
      <c r="Q42"/>
      <c r="R42"/>
    </row>
    <row r="43" spans="1:18" x14ac:dyDescent="0.35">
      <c r="A43" s="651" t="s">
        <v>488</v>
      </c>
      <c r="B43" s="651"/>
      <c r="C43" s="685"/>
      <c r="D43" s="685">
        <f>E43/12</f>
        <v>2750</v>
      </c>
      <c r="E43" s="685">
        <f>SUM(E44:E47)</f>
        <v>33000</v>
      </c>
      <c r="F43" s="519">
        <f>SUM(F44:F47)</f>
        <v>4500</v>
      </c>
      <c r="G43" s="517">
        <f>SUM(G44:G47)</f>
        <v>4500</v>
      </c>
      <c r="H43" s="511"/>
      <c r="I43"/>
      <c r="J43"/>
      <c r="K43"/>
      <c r="L43"/>
      <c r="M43"/>
      <c r="N43"/>
      <c r="O43"/>
      <c r="P43"/>
      <c r="Q43"/>
      <c r="R43"/>
    </row>
    <row r="44" spans="1:18" ht="32.5" hidden="1" outlineLevel="1" x14ac:dyDescent="0.35">
      <c r="A44" s="650" t="s">
        <v>306</v>
      </c>
      <c r="B44" s="693" t="s">
        <v>527</v>
      </c>
      <c r="C44" s="685"/>
      <c r="D44" s="685">
        <f>ROUND(8*8*10+700/12,-1)*1</f>
        <v>700</v>
      </c>
      <c r="E44" s="685">
        <f>D44*12</f>
        <v>8400</v>
      </c>
      <c r="F44" s="514">
        <f>E44*Eeldused50!$C$38</f>
        <v>4200</v>
      </c>
      <c r="G44" s="514">
        <f>E44*Eeldused50!$D$38</f>
        <v>4200</v>
      </c>
      <c r="H44" s="511">
        <f>G44/$G$62</f>
        <v>1.5810853929634813E-2</v>
      </c>
      <c r="I44"/>
      <c r="J44"/>
      <c r="K44"/>
      <c r="L44"/>
      <c r="M44"/>
      <c r="N44"/>
      <c r="O44"/>
      <c r="P44"/>
      <c r="Q44"/>
      <c r="R44"/>
    </row>
    <row r="45" spans="1:18" hidden="1" outlineLevel="1" x14ac:dyDescent="0.35">
      <c r="A45" s="650" t="s">
        <v>307</v>
      </c>
      <c r="B45" s="651"/>
      <c r="C45" s="685"/>
      <c r="D45" s="611">
        <f>110-60</f>
        <v>50</v>
      </c>
      <c r="E45" s="685">
        <f>D45*12</f>
        <v>600</v>
      </c>
      <c r="F45" s="514">
        <f>E45*Eeldused50!$C$38</f>
        <v>300</v>
      </c>
      <c r="G45" s="514">
        <f>E45*Eeldused50!$D$38</f>
        <v>300</v>
      </c>
      <c r="H45" s="511">
        <f>G45/$G$62</f>
        <v>1.1293467092596294E-3</v>
      </c>
      <c r="I45"/>
      <c r="J45"/>
      <c r="K45"/>
      <c r="L45"/>
      <c r="M45"/>
      <c r="N45"/>
      <c r="O45"/>
      <c r="P45"/>
      <c r="Q45"/>
      <c r="R45"/>
    </row>
    <row r="46" spans="1:18" hidden="1" outlineLevel="1" x14ac:dyDescent="0.35">
      <c r="A46" s="650" t="s">
        <v>308</v>
      </c>
      <c r="B46" s="651"/>
      <c r="C46" s="685"/>
      <c r="D46" s="685">
        <v>2000</v>
      </c>
      <c r="E46" s="685">
        <f>D46*12</f>
        <v>24000</v>
      </c>
      <c r="F46" s="518"/>
      <c r="G46" s="517"/>
      <c r="H46" s="511"/>
      <c r="I46"/>
      <c r="J46"/>
      <c r="K46"/>
      <c r="L46"/>
      <c r="M46"/>
      <c r="N46"/>
      <c r="O46"/>
      <c r="P46"/>
      <c r="Q46"/>
      <c r="R46"/>
    </row>
    <row r="47" spans="1:18" hidden="1" collapsed="1" x14ac:dyDescent="0.35">
      <c r="A47" s="650"/>
      <c r="B47" s="651"/>
      <c r="C47" s="685"/>
      <c r="D47" s="685"/>
      <c r="E47" s="685"/>
      <c r="F47" s="518"/>
      <c r="G47" s="517"/>
      <c r="H47" s="511"/>
      <c r="I47"/>
      <c r="J47"/>
      <c r="K47"/>
      <c r="L47"/>
      <c r="M47"/>
      <c r="N47"/>
      <c r="O47"/>
      <c r="P47"/>
      <c r="Q47"/>
      <c r="R47"/>
    </row>
    <row r="48" spans="1:18" ht="18" customHeight="1" x14ac:dyDescent="0.35">
      <c r="A48" s="651" t="s">
        <v>419</v>
      </c>
      <c r="B48" s="651"/>
      <c r="C48" s="685"/>
      <c r="D48" s="685">
        <f>E48/12</f>
        <v>1869.5</v>
      </c>
      <c r="E48" s="685">
        <f>SUM(E49:E53)</f>
        <v>22434</v>
      </c>
      <c r="F48" s="519">
        <f>SUM(F49:F53)</f>
        <v>11217</v>
      </c>
      <c r="G48" s="517">
        <f>SUM(G49:G53)</f>
        <v>11217</v>
      </c>
      <c r="H48" s="511">
        <f>G48/$G$62</f>
        <v>4.2226273459217548E-2</v>
      </c>
      <c r="I48"/>
      <c r="J48"/>
      <c r="K48"/>
      <c r="L48"/>
      <c r="M48"/>
      <c r="N48"/>
      <c r="O48"/>
      <c r="P48"/>
      <c r="Q48"/>
      <c r="R48"/>
    </row>
    <row r="49" spans="1:18" ht="22" hidden="1" outlineLevel="1" x14ac:dyDescent="0.35">
      <c r="A49" s="650" t="s">
        <v>309</v>
      </c>
      <c r="B49" s="693" t="s">
        <v>528</v>
      </c>
      <c r="C49" s="685"/>
      <c r="D49" s="685">
        <f>E49/12</f>
        <v>94.5</v>
      </c>
      <c r="E49" s="685">
        <f>12*13.5*7</f>
        <v>1134</v>
      </c>
      <c r="F49" s="514">
        <f>E49*Eeldused50!$C$38</f>
        <v>567</v>
      </c>
      <c r="G49" s="514">
        <f>E49*Eeldused50!$D$38</f>
        <v>567</v>
      </c>
      <c r="H49" s="511">
        <f>G49/$G$62</f>
        <v>2.1344652805006998E-3</v>
      </c>
      <c r="I49"/>
      <c r="J49"/>
      <c r="K49"/>
      <c r="L49"/>
      <c r="M49"/>
      <c r="N49"/>
      <c r="O49"/>
      <c r="P49"/>
      <c r="Q49"/>
      <c r="R49"/>
    </row>
    <row r="50" spans="1:18" ht="22" hidden="1" outlineLevel="1" x14ac:dyDescent="0.35">
      <c r="A50" s="650" t="s">
        <v>310</v>
      </c>
      <c r="B50" s="693" t="s">
        <v>311</v>
      </c>
      <c r="C50" s="685">
        <v>600</v>
      </c>
      <c r="D50" s="685">
        <f>E50/12</f>
        <v>150</v>
      </c>
      <c r="E50" s="685">
        <f>600*3</f>
        <v>1800</v>
      </c>
      <c r="F50" s="514">
        <f>E50*Eeldused50!$C$38</f>
        <v>900</v>
      </c>
      <c r="G50" s="514">
        <f>E50*Eeldused50!$D$38</f>
        <v>900</v>
      </c>
      <c r="H50" s="511">
        <f>G50/$G$62</f>
        <v>3.3880401277788883E-3</v>
      </c>
      <c r="I50"/>
      <c r="J50"/>
      <c r="K50"/>
      <c r="L50"/>
      <c r="M50"/>
      <c r="N50"/>
      <c r="O50"/>
      <c r="P50"/>
      <c r="Q50"/>
      <c r="R50"/>
    </row>
    <row r="51" spans="1:18" hidden="1" outlineLevel="1" x14ac:dyDescent="0.35">
      <c r="A51" s="650" t="s">
        <v>312</v>
      </c>
      <c r="B51" s="651"/>
      <c r="C51" s="685"/>
      <c r="D51" s="685">
        <f>E51/12</f>
        <v>291.66666666666669</v>
      </c>
      <c r="E51" s="685">
        <v>3500</v>
      </c>
      <c r="F51" s="514">
        <f>E51*Eeldused50!$C$38</f>
        <v>1750</v>
      </c>
      <c r="G51" s="514">
        <f>E51*Eeldused50!$D$38</f>
        <v>1750</v>
      </c>
      <c r="H51" s="511">
        <f>G51/$G$62</f>
        <v>6.5878558040145052E-3</v>
      </c>
      <c r="I51"/>
      <c r="J51"/>
      <c r="K51" s="496"/>
      <c r="L51"/>
      <c r="M51"/>
      <c r="N51"/>
      <c r="O51"/>
      <c r="P51"/>
      <c r="Q51"/>
      <c r="R51"/>
    </row>
    <row r="52" spans="1:18" hidden="1" outlineLevel="1" x14ac:dyDescent="0.35">
      <c r="A52" s="650" t="s">
        <v>313</v>
      </c>
      <c r="B52" s="651"/>
      <c r="C52" s="685"/>
      <c r="D52" s="685">
        <f>E52/12</f>
        <v>1333.3333333333333</v>
      </c>
      <c r="E52" s="685">
        <f>8000*2</f>
        <v>16000</v>
      </c>
      <c r="F52" s="514">
        <f>E52*Eeldused50!$C$38</f>
        <v>8000</v>
      </c>
      <c r="G52" s="514">
        <f>E52*Eeldused50!$D$38</f>
        <v>8000</v>
      </c>
      <c r="H52" s="511">
        <f>G52/$G$62</f>
        <v>3.0115912246923452E-2</v>
      </c>
      <c r="I52"/>
      <c r="J52"/>
      <c r="K52"/>
      <c r="L52"/>
      <c r="M52"/>
      <c r="N52"/>
      <c r="O52"/>
      <c r="P52"/>
      <c r="Q52"/>
      <c r="R52"/>
    </row>
    <row r="53" spans="1:18" hidden="1" outlineLevel="1" x14ac:dyDescent="0.35">
      <c r="A53" s="650"/>
      <c r="B53" s="651"/>
      <c r="C53" s="685"/>
      <c r="D53" s="685"/>
      <c r="E53" s="685"/>
      <c r="F53" s="514"/>
      <c r="G53" s="514"/>
      <c r="H53" s="511"/>
      <c r="I53"/>
      <c r="J53"/>
      <c r="K53"/>
      <c r="L53"/>
      <c r="M53"/>
      <c r="N53"/>
      <c r="O53"/>
      <c r="P53"/>
      <c r="Q53"/>
      <c r="R53"/>
    </row>
    <row r="54" spans="1:18" collapsed="1" x14ac:dyDescent="0.35">
      <c r="A54" s="651" t="s">
        <v>420</v>
      </c>
      <c r="B54" s="651"/>
      <c r="C54" s="685"/>
      <c r="D54" s="685">
        <v>1000</v>
      </c>
      <c r="E54" s="685">
        <f>D54*12</f>
        <v>12000</v>
      </c>
      <c r="F54" s="514">
        <f>E54*Eeldused50!$C$38</f>
        <v>6000</v>
      </c>
      <c r="G54" s="514">
        <f>E54*Eeldused50!$D$38</f>
        <v>6000</v>
      </c>
      <c r="H54" s="511">
        <f t="shared" ref="H54:H59" si="5">G54/$G$62</f>
        <v>2.258693418519259E-2</v>
      </c>
      <c r="I54"/>
      <c r="J54"/>
      <c r="K54"/>
      <c r="L54"/>
      <c r="M54"/>
      <c r="N54"/>
      <c r="O54"/>
      <c r="P54"/>
      <c r="Q54"/>
      <c r="R54"/>
    </row>
    <row r="55" spans="1:18" ht="21.75" customHeight="1" x14ac:dyDescent="0.35">
      <c r="A55" s="651" t="s">
        <v>421</v>
      </c>
      <c r="B55" s="651" t="s">
        <v>507</v>
      </c>
      <c r="C55" s="696">
        <v>1E-3</v>
      </c>
      <c r="D55" s="685">
        <f>E55/12</f>
        <v>911.5</v>
      </c>
      <c r="E55" s="685">
        <f>C55*'1. Projekti elluviimise kulud'!J13</f>
        <v>10938</v>
      </c>
      <c r="F55" s="518"/>
      <c r="G55" s="517">
        <f>E55</f>
        <v>10938</v>
      </c>
      <c r="H55" s="511">
        <f t="shared" si="5"/>
        <v>4.1175981019606088E-2</v>
      </c>
      <c r="I55"/>
      <c r="J55"/>
      <c r="K55"/>
      <c r="L55"/>
      <c r="M55"/>
      <c r="N55"/>
      <c r="O55"/>
      <c r="P55"/>
      <c r="Q55"/>
      <c r="R55"/>
    </row>
    <row r="56" spans="1:18" x14ac:dyDescent="0.35">
      <c r="A56" s="651" t="s">
        <v>422</v>
      </c>
      <c r="B56" s="651"/>
      <c r="C56" s="685"/>
      <c r="D56" s="685">
        <f>E56/12</f>
        <v>595</v>
      </c>
      <c r="E56" s="685">
        <f>SUM(E57:E61)</f>
        <v>7140</v>
      </c>
      <c r="F56" s="520">
        <f>SUM(F57:F61)</f>
        <v>1800</v>
      </c>
      <c r="G56" s="517">
        <f>SUM(G57:G61)</f>
        <v>5340</v>
      </c>
      <c r="H56" s="511">
        <f t="shared" si="5"/>
        <v>2.0102371424821405E-2</v>
      </c>
      <c r="I56"/>
      <c r="J56"/>
      <c r="K56"/>
      <c r="L56"/>
      <c r="M56"/>
      <c r="N56"/>
      <c r="O56"/>
      <c r="P56"/>
      <c r="Q56"/>
      <c r="R56"/>
    </row>
    <row r="57" spans="1:18" ht="29" hidden="1" outlineLevel="1" x14ac:dyDescent="0.35">
      <c r="A57" s="650" t="s">
        <v>314</v>
      </c>
      <c r="B57" s="651"/>
      <c r="C57" s="685"/>
      <c r="D57" s="685">
        <v>55</v>
      </c>
      <c r="E57" s="685">
        <f>D57*12</f>
        <v>660</v>
      </c>
      <c r="F57" s="518"/>
      <c r="G57" s="517">
        <f>E57</f>
        <v>660</v>
      </c>
      <c r="H57" s="511">
        <f t="shared" si="5"/>
        <v>2.4845627603711849E-3</v>
      </c>
      <c r="I57"/>
      <c r="J57"/>
      <c r="K57"/>
      <c r="L57"/>
      <c r="M57"/>
      <c r="N57"/>
      <c r="O57"/>
      <c r="P57"/>
      <c r="Q57"/>
      <c r="R57"/>
    </row>
    <row r="58" spans="1:18" hidden="1" outlineLevel="1" x14ac:dyDescent="0.35">
      <c r="A58" s="650" t="s">
        <v>315</v>
      </c>
      <c r="B58" s="651"/>
      <c r="C58" s="685"/>
      <c r="D58" s="685">
        <f>500-200</f>
        <v>300</v>
      </c>
      <c r="E58" s="685">
        <f>D58*12</f>
        <v>3600</v>
      </c>
      <c r="F58" s="514">
        <f>E58*Eeldused50!$C$38</f>
        <v>1800</v>
      </c>
      <c r="G58" s="514">
        <f>E58*Eeldused50!$D$38</f>
        <v>1800</v>
      </c>
      <c r="H58" s="511">
        <f t="shared" si="5"/>
        <v>6.7760802555577766E-3</v>
      </c>
      <c r="I58"/>
      <c r="J58"/>
      <c r="K58"/>
      <c r="L58"/>
      <c r="M58"/>
      <c r="N58"/>
      <c r="O58"/>
      <c r="P58"/>
      <c r="Q58"/>
      <c r="R58"/>
    </row>
    <row r="59" spans="1:18" hidden="1" outlineLevel="1" x14ac:dyDescent="0.35">
      <c r="A59" s="650" t="s">
        <v>296</v>
      </c>
      <c r="B59" s="651"/>
      <c r="C59" s="685"/>
      <c r="D59" s="685">
        <f>240</f>
        <v>240</v>
      </c>
      <c r="E59" s="685">
        <f>D59*12</f>
        <v>2880</v>
      </c>
      <c r="F59" s="514"/>
      <c r="G59" s="515">
        <f>E59</f>
        <v>2880</v>
      </c>
      <c r="H59" s="511">
        <f t="shared" si="5"/>
        <v>1.0841728408892443E-2</v>
      </c>
      <c r="I59"/>
      <c r="J59"/>
      <c r="K59"/>
      <c r="L59"/>
      <c r="M59"/>
      <c r="N59"/>
      <c r="O59"/>
      <c r="P59"/>
      <c r="Q59"/>
      <c r="R59"/>
    </row>
    <row r="60" spans="1:18" hidden="1" outlineLevel="1" x14ac:dyDescent="0.35">
      <c r="A60" s="650"/>
      <c r="B60" s="651"/>
      <c r="C60" s="685"/>
      <c r="D60" s="685"/>
      <c r="E60" s="685"/>
      <c r="F60" s="515"/>
      <c r="G60" s="515"/>
      <c r="H60" s="494">
        <f>G60/$G$71</f>
        <v>0</v>
      </c>
      <c r="I60"/>
      <c r="J60"/>
      <c r="K60"/>
      <c r="L60"/>
      <c r="M60"/>
      <c r="N60"/>
      <c r="O60"/>
      <c r="P60"/>
      <c r="Q60"/>
      <c r="R60"/>
    </row>
    <row r="61" spans="1:18" collapsed="1" x14ac:dyDescent="0.35">
      <c r="A61" s="650"/>
      <c r="B61" s="651"/>
      <c r="C61" s="685"/>
      <c r="D61" s="685"/>
      <c r="E61" s="685"/>
      <c r="F61" s="515"/>
      <c r="G61" s="515"/>
      <c r="H61" s="494"/>
      <c r="I61"/>
      <c r="J61"/>
      <c r="K61"/>
      <c r="L61"/>
      <c r="M61"/>
      <c r="N61"/>
      <c r="O61"/>
      <c r="P61"/>
      <c r="Q61"/>
      <c r="R61"/>
    </row>
    <row r="62" spans="1:18" x14ac:dyDescent="0.35">
      <c r="A62" s="697" t="s">
        <v>368</v>
      </c>
      <c r="B62" s="651"/>
      <c r="C62" s="685"/>
      <c r="D62" s="698">
        <f>E62/12</f>
        <v>30154.661115639999</v>
      </c>
      <c r="E62" s="698">
        <f>E4+E25+E29+E31+E56+E36+E43+E48+E54+E55</f>
        <v>361855.93338767998</v>
      </c>
      <c r="F62" s="521">
        <f>F4+F25+F29+F31+F56+F36+F43+F48+F54+F55</f>
        <v>72215.632193840007</v>
      </c>
      <c r="G62" s="521">
        <f>G4+G25+G29+G31+G56+G36+G43+G48+G54+G55</f>
        <v>265640.30119383999</v>
      </c>
      <c r="H62" s="511"/>
      <c r="I62"/>
      <c r="J62"/>
      <c r="K62" s="502"/>
      <c r="L62"/>
      <c r="M62"/>
      <c r="N62"/>
      <c r="O62"/>
      <c r="P62"/>
      <c r="Q62"/>
      <c r="R62"/>
    </row>
    <row r="63" spans="1:18" x14ac:dyDescent="0.35">
      <c r="A63" s="697"/>
      <c r="B63" s="651"/>
      <c r="C63" s="685"/>
      <c r="D63" s="685"/>
      <c r="E63" s="698"/>
      <c r="F63" s="515"/>
      <c r="G63" s="515"/>
      <c r="H63" s="511"/>
      <c r="I63"/>
      <c r="J63"/>
      <c r="K63"/>
      <c r="L63"/>
      <c r="M63"/>
      <c r="N63"/>
      <c r="O63"/>
      <c r="P63"/>
      <c r="Q63"/>
      <c r="R63"/>
    </row>
    <row r="64" spans="1:18" x14ac:dyDescent="0.35">
      <c r="A64" s="684" t="s">
        <v>423</v>
      </c>
      <c r="B64" s="651"/>
      <c r="C64" s="685"/>
      <c r="D64" s="614"/>
      <c r="E64" s="614"/>
      <c r="F64" s="490"/>
      <c r="G64" s="517"/>
      <c r="H64" s="511"/>
      <c r="I64"/>
      <c r="J64"/>
      <c r="K64"/>
      <c r="L64"/>
      <c r="M64"/>
      <c r="N64"/>
      <c r="O64"/>
      <c r="P64"/>
      <c r="Q64"/>
      <c r="R64"/>
    </row>
    <row r="65" spans="1:18" x14ac:dyDescent="0.35">
      <c r="A65" s="650" t="s">
        <v>589</v>
      </c>
      <c r="B65" s="651"/>
      <c r="C65" s="699"/>
      <c r="D65" s="685">
        <f>E65/12</f>
        <v>36460</v>
      </c>
      <c r="E65" s="685">
        <f>'1. Projekti elluviimise kulud'!J8/'1. Projekti elluviimise kulud'!L8</f>
        <v>437520</v>
      </c>
      <c r="F65" s="490"/>
      <c r="G65" s="517">
        <f>E65</f>
        <v>437520</v>
      </c>
      <c r="H65" s="511"/>
      <c r="I65"/>
      <c r="J65"/>
      <c r="K65"/>
      <c r="L65"/>
      <c r="M65"/>
      <c r="N65"/>
      <c r="O65"/>
      <c r="P65"/>
      <c r="Q65"/>
      <c r="R65"/>
    </row>
    <row r="66" spans="1:18" hidden="1" x14ac:dyDescent="0.35">
      <c r="A66" s="650" t="s">
        <v>347</v>
      </c>
      <c r="B66" s="651"/>
      <c r="C66" s="699"/>
      <c r="D66" s="685">
        <f>E66/12</f>
        <v>0</v>
      </c>
      <c r="E66" s="685">
        <f>IF(ISERROR('1. Projekti elluviimise kulud'!J9/'1. Projekti elluviimise kulud'!L9),0,'1. Projekti elluviimise kulud'!J9/'1. Projekti elluviimise kulud'!L9)</f>
        <v>0</v>
      </c>
      <c r="F66" s="490"/>
      <c r="G66" s="517">
        <f>E66</f>
        <v>0</v>
      </c>
      <c r="H66" s="511"/>
      <c r="I66"/>
      <c r="J66"/>
      <c r="K66"/>
      <c r="L66"/>
      <c r="M66"/>
      <c r="N66"/>
      <c r="O66"/>
      <c r="P66"/>
      <c r="Q66"/>
      <c r="R66"/>
    </row>
    <row r="67" spans="1:18" ht="30.75" hidden="1" customHeight="1" x14ac:dyDescent="0.35">
      <c r="A67" s="650"/>
      <c r="B67" s="651"/>
      <c r="C67" s="699"/>
      <c r="D67" s="685"/>
      <c r="E67" s="685"/>
      <c r="F67" s="490"/>
      <c r="G67" s="517">
        <f>E67</f>
        <v>0</v>
      </c>
      <c r="H67" s="511"/>
      <c r="I67"/>
      <c r="J67"/>
      <c r="K67"/>
      <c r="L67"/>
      <c r="M67"/>
      <c r="N67"/>
      <c r="O67"/>
      <c r="P67"/>
      <c r="Q67"/>
      <c r="R67"/>
    </row>
    <row r="68" spans="1:18" ht="31.5" hidden="1" customHeight="1" x14ac:dyDescent="0.35">
      <c r="A68" s="650"/>
      <c r="B68" s="651"/>
      <c r="C68" s="699"/>
      <c r="D68" s="685"/>
      <c r="E68" s="685"/>
      <c r="F68" s="490"/>
      <c r="G68" s="517">
        <f>E68</f>
        <v>0</v>
      </c>
      <c r="H68" s="511"/>
      <c r="I68"/>
      <c r="J68"/>
      <c r="K68"/>
      <c r="L68"/>
      <c r="M68"/>
      <c r="N68"/>
      <c r="O68"/>
      <c r="P68"/>
      <c r="Q68"/>
      <c r="R68"/>
    </row>
    <row r="69" spans="1:18" x14ac:dyDescent="0.35">
      <c r="A69" s="697" t="s">
        <v>508</v>
      </c>
      <c r="B69" s="611"/>
      <c r="C69" s="626"/>
      <c r="D69" s="698">
        <f>SUM(D65:D68)</f>
        <v>36460</v>
      </c>
      <c r="E69" s="698">
        <f>SUM(E65:E68)</f>
        <v>437520</v>
      </c>
      <c r="F69" s="521">
        <f>SUM(F65:F68)</f>
        <v>0</v>
      </c>
      <c r="G69" s="521">
        <f>SUM(G65:G68)</f>
        <v>437520</v>
      </c>
      <c r="H69"/>
      <c r="I69"/>
      <c r="J69"/>
      <c r="K69"/>
      <c r="L69"/>
      <c r="M69"/>
      <c r="N69"/>
      <c r="O69"/>
      <c r="P69"/>
      <c r="Q69"/>
      <c r="R69"/>
    </row>
    <row r="70" spans="1:18" x14ac:dyDescent="0.35">
      <c r="A70" s="697"/>
      <c r="B70" s="611"/>
      <c r="C70" s="626"/>
      <c r="D70" s="685"/>
      <c r="E70" s="685"/>
      <c r="F70" s="490"/>
      <c r="G70" s="490"/>
      <c r="H70"/>
      <c r="I70"/>
      <c r="J70"/>
      <c r="K70"/>
      <c r="L70"/>
      <c r="M70"/>
      <c r="N70"/>
      <c r="O70"/>
      <c r="P70"/>
      <c r="Q70"/>
      <c r="R70"/>
    </row>
    <row r="71" spans="1:18" x14ac:dyDescent="0.35">
      <c r="A71" s="683" t="s">
        <v>71</v>
      </c>
      <c r="B71" s="677"/>
      <c r="C71" s="677"/>
      <c r="D71" s="678">
        <f>E71/12</f>
        <v>66614.661115640003</v>
      </c>
      <c r="E71" s="678">
        <f>E62+E69</f>
        <v>799375.93338767998</v>
      </c>
      <c r="F71" s="505">
        <f>F62+F69</f>
        <v>72215.632193840007</v>
      </c>
      <c r="G71" s="505">
        <f>G62+G69</f>
        <v>703160.30119383999</v>
      </c>
      <c r="H71"/>
      <c r="I71"/>
      <c r="J71"/>
      <c r="K71"/>
      <c r="L71"/>
      <c r="M71"/>
      <c r="N71"/>
      <c r="O71"/>
      <c r="P71"/>
      <c r="Q71"/>
      <c r="R71"/>
    </row>
    <row r="72" spans="1:18" x14ac:dyDescent="0.35">
      <c r="A72" s="522"/>
      <c r="B72" s="523"/>
      <c r="C72" s="523"/>
      <c r="D72" s="524"/>
      <c r="E72" s="524"/>
      <c r="F72" s="524"/>
      <c r="G72" s="524"/>
      <c r="H72"/>
      <c r="I72"/>
      <c r="J72"/>
      <c r="K72"/>
      <c r="L72"/>
      <c r="M72"/>
      <c r="N72"/>
      <c r="O72"/>
      <c r="P72"/>
      <c r="Q72"/>
      <c r="R72"/>
    </row>
    <row r="73" spans="1:18" x14ac:dyDescent="0.35">
      <c r="A73" s="373"/>
      <c r="B73" s="369"/>
      <c r="C73" s="369"/>
      <c r="D73" s="374"/>
      <c r="E73" s="374"/>
      <c r="F73" s="374"/>
      <c r="G73" s="374"/>
    </row>
    <row r="74" spans="1:18" x14ac:dyDescent="0.35">
      <c r="E74" s="371"/>
      <c r="G74" s="371"/>
    </row>
    <row r="75" spans="1:18" x14ac:dyDescent="0.35">
      <c r="E75" s="370"/>
      <c r="G75" s="370"/>
    </row>
    <row r="77" spans="1:18" x14ac:dyDescent="0.35">
      <c r="E77" s="372"/>
    </row>
  </sheetData>
  <conditionalFormatting sqref="H2:H73">
    <cfRule type="cellIs" dxfId="2" priority="1" operator="equal">
      <formula>0</formula>
    </cfRule>
  </conditionalFormatting>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E46D-F1DD-4495-8DD5-A5F5CDFDD8DB}">
  <sheetPr>
    <tabColor rgb="FFFF0000"/>
  </sheetPr>
  <dimension ref="A1:H50"/>
  <sheetViews>
    <sheetView workbookViewId="0">
      <selection activeCell="A34" sqref="A34"/>
    </sheetView>
  </sheetViews>
  <sheetFormatPr defaultColWidth="9.1796875" defaultRowHeight="14.5" x14ac:dyDescent="0.35"/>
  <cols>
    <col min="1" max="1" width="25.1796875" style="365" customWidth="1"/>
    <col min="2" max="2" width="15.1796875" style="365" customWidth="1"/>
    <col min="3" max="3" width="14.7265625" style="365" customWidth="1"/>
    <col min="4" max="4" width="13.1796875" style="365" customWidth="1"/>
    <col min="5" max="5" width="13.26953125" style="365" customWidth="1"/>
    <col min="6" max="6" width="8.81640625" style="365" customWidth="1"/>
    <col min="7" max="7" width="12.453125" style="365" customWidth="1"/>
    <col min="8" max="8" width="14.26953125" style="365" customWidth="1"/>
    <col min="9" max="9" width="13.26953125" style="365" customWidth="1"/>
    <col min="10" max="10" width="17" style="365" customWidth="1"/>
    <col min="11" max="16384" width="9.1796875" style="365"/>
  </cols>
  <sheetData>
    <row r="1" spans="1:8" x14ac:dyDescent="0.35">
      <c r="A1" s="646" t="s">
        <v>438</v>
      </c>
      <c r="B1" s="646"/>
      <c r="C1" s="614"/>
      <c r="D1" s="614"/>
      <c r="E1" s="647"/>
      <c r="F1" s="612"/>
      <c r="G1" s="612"/>
      <c r="H1" s="614"/>
    </row>
    <row r="2" spans="1:8" x14ac:dyDescent="0.35">
      <c r="A2" s="614"/>
      <c r="B2" s="614"/>
      <c r="C2" s="614"/>
      <c r="D2" s="614"/>
      <c r="E2" s="613"/>
      <c r="F2" s="614"/>
      <c r="G2" s="614"/>
      <c r="H2" s="614"/>
    </row>
    <row r="3" spans="1:8" x14ac:dyDescent="0.35">
      <c r="A3" s="646" t="s">
        <v>439</v>
      </c>
      <c r="B3" s="646"/>
      <c r="C3" s="614"/>
      <c r="D3" s="612"/>
      <c r="E3" s="613"/>
      <c r="F3" s="614"/>
      <c r="G3" s="614"/>
      <c r="H3" s="614"/>
    </row>
    <row r="4" spans="1:8" x14ac:dyDescent="0.35">
      <c r="A4" s="648" t="s">
        <v>572</v>
      </c>
      <c r="B4" s="611" t="s">
        <v>573</v>
      </c>
      <c r="C4" s="611">
        <v>62.78</v>
      </c>
      <c r="D4" s="612"/>
      <c r="E4" s="613"/>
      <c r="F4" s="614"/>
      <c r="G4" s="614"/>
      <c r="H4" s="614"/>
    </row>
    <row r="5" spans="1:8" x14ac:dyDescent="0.35">
      <c r="A5" s="648" t="s">
        <v>440</v>
      </c>
      <c r="B5" s="611" t="s">
        <v>445</v>
      </c>
      <c r="C5" s="490">
        <f>0.115+0.115*0.3</f>
        <v>0.14950000000000002</v>
      </c>
      <c r="D5" s="615"/>
      <c r="E5" s="613"/>
      <c r="F5" s="614"/>
      <c r="G5" s="616"/>
      <c r="H5" s="614"/>
    </row>
    <row r="6" spans="1:8" x14ac:dyDescent="0.35">
      <c r="A6" s="648" t="s">
        <v>441</v>
      </c>
      <c r="B6" s="611" t="s">
        <v>444</v>
      </c>
      <c r="C6" s="611">
        <f>1.839</f>
        <v>1.839</v>
      </c>
      <c r="D6" s="612"/>
      <c r="E6" s="613"/>
      <c r="F6" s="614"/>
      <c r="G6" s="614"/>
      <c r="H6" s="614"/>
    </row>
    <row r="7" spans="1:8" x14ac:dyDescent="0.35">
      <c r="A7" s="648" t="s">
        <v>442</v>
      </c>
      <c r="B7" s="611" t="s">
        <v>444</v>
      </c>
      <c r="C7" s="611">
        <v>5</v>
      </c>
      <c r="D7" s="612"/>
      <c r="E7" s="613"/>
      <c r="F7" s="614"/>
      <c r="G7" s="614"/>
      <c r="H7" s="614"/>
    </row>
    <row r="8" spans="1:8" x14ac:dyDescent="0.35">
      <c r="A8" s="648" t="s">
        <v>443</v>
      </c>
      <c r="B8" s="611" t="s">
        <v>444</v>
      </c>
      <c r="C8" s="611">
        <v>1.4379999999999999</v>
      </c>
      <c r="D8" s="612"/>
      <c r="E8" s="613"/>
      <c r="F8" s="614"/>
      <c r="G8" s="614"/>
      <c r="H8" s="614"/>
    </row>
    <row r="9" spans="1:8" x14ac:dyDescent="0.35">
      <c r="A9" s="614"/>
      <c r="B9" s="614"/>
      <c r="C9" s="614"/>
      <c r="D9" s="614"/>
      <c r="E9" s="613"/>
      <c r="F9" s="614"/>
      <c r="G9" s="614"/>
      <c r="H9" s="614"/>
    </row>
    <row r="10" spans="1:8" x14ac:dyDescent="0.35">
      <c r="A10" s="646" t="s">
        <v>446</v>
      </c>
      <c r="B10" s="646"/>
      <c r="C10" s="614"/>
      <c r="D10" s="614"/>
      <c r="E10" s="613"/>
      <c r="F10" s="614"/>
      <c r="G10" s="614"/>
      <c r="H10" s="614"/>
    </row>
    <row r="11" spans="1:8" ht="29" x14ac:dyDescent="0.35">
      <c r="A11" s="648"/>
      <c r="B11" s="649" t="s">
        <v>2</v>
      </c>
      <c r="C11" s="617" t="s">
        <v>447</v>
      </c>
      <c r="D11" s="618" t="s">
        <v>448</v>
      </c>
      <c r="E11" s="613"/>
      <c r="F11" s="614"/>
      <c r="G11" s="614"/>
      <c r="H11" s="614"/>
    </row>
    <row r="12" spans="1:8" x14ac:dyDescent="0.35">
      <c r="A12" s="648" t="s">
        <v>572</v>
      </c>
      <c r="B12" s="650"/>
      <c r="C12" s="617"/>
      <c r="D12" s="618"/>
      <c r="E12" s="613"/>
      <c r="F12" s="614"/>
      <c r="G12" s="614"/>
      <c r="H12" s="614"/>
    </row>
    <row r="13" spans="1:8" x14ac:dyDescent="0.35">
      <c r="A13" s="645" t="s">
        <v>587</v>
      </c>
      <c r="B13" s="651" t="s">
        <v>574</v>
      </c>
      <c r="C13" s="621">
        <v>11.6</v>
      </c>
      <c r="D13" s="621">
        <f>C13</f>
        <v>11.6</v>
      </c>
      <c r="E13" s="613"/>
      <c r="F13" s="614"/>
      <c r="G13" s="620"/>
      <c r="H13" s="614"/>
    </row>
    <row r="14" spans="1:8" x14ac:dyDescent="0.35">
      <c r="A14" s="645"/>
      <c r="B14" s="651"/>
      <c r="C14" s="619"/>
      <c r="D14" s="619"/>
      <c r="E14" s="613"/>
      <c r="F14" s="614"/>
      <c r="G14" s="614"/>
      <c r="H14" s="614"/>
    </row>
    <row r="15" spans="1:8" x14ac:dyDescent="0.35">
      <c r="A15" s="648" t="s">
        <v>440</v>
      </c>
      <c r="B15" s="618"/>
      <c r="C15" s="611"/>
      <c r="D15" s="614"/>
      <c r="E15" s="613"/>
      <c r="F15" s="614"/>
      <c r="G15" s="614"/>
      <c r="H15" s="614"/>
    </row>
    <row r="16" spans="1:8" ht="14.25" customHeight="1" x14ac:dyDescent="0.35">
      <c r="A16" s="652" t="s">
        <v>587</v>
      </c>
      <c r="B16" s="651" t="s">
        <v>450</v>
      </c>
      <c r="C16" s="621">
        <v>10</v>
      </c>
      <c r="D16" s="614"/>
      <c r="E16" s="613"/>
      <c r="F16" s="614"/>
      <c r="G16" s="614"/>
      <c r="H16" s="614"/>
    </row>
    <row r="17" spans="1:8" ht="14.25" customHeight="1" x14ac:dyDescent="0.35">
      <c r="A17" s="652"/>
      <c r="B17" s="651"/>
      <c r="C17" s="621"/>
      <c r="D17" s="622"/>
      <c r="E17" s="613"/>
      <c r="F17" s="614"/>
      <c r="G17" s="614"/>
      <c r="H17" s="614"/>
    </row>
    <row r="18" spans="1:8" ht="14.25" customHeight="1" x14ac:dyDescent="0.35">
      <c r="A18" s="648" t="s">
        <v>414</v>
      </c>
      <c r="B18" s="618" t="s">
        <v>451</v>
      </c>
      <c r="C18" s="611">
        <f>50*21/1000</f>
        <v>1.05</v>
      </c>
      <c r="D18" s="614"/>
      <c r="E18" s="613"/>
      <c r="F18" s="614"/>
      <c r="G18" s="614"/>
      <c r="H18" s="614"/>
    </row>
    <row r="19" spans="1:8" ht="14.25" customHeight="1" x14ac:dyDescent="0.35">
      <c r="A19" s="645" t="s">
        <v>415</v>
      </c>
      <c r="B19" s="618" t="s">
        <v>451</v>
      </c>
      <c r="C19" s="611">
        <f>C18*0.6</f>
        <v>0.63</v>
      </c>
      <c r="D19" s="614"/>
      <c r="E19" s="613"/>
      <c r="F19" s="614"/>
      <c r="G19" s="614"/>
      <c r="H19" s="614"/>
    </row>
    <row r="20" spans="1:8" ht="14.25" customHeight="1" x14ac:dyDescent="0.35">
      <c r="A20" s="645" t="s">
        <v>416</v>
      </c>
      <c r="B20" s="618" t="s">
        <v>451</v>
      </c>
      <c r="C20" s="611">
        <f>C18*0.4</f>
        <v>0.42000000000000004</v>
      </c>
      <c r="D20" s="614"/>
      <c r="E20" s="613"/>
      <c r="F20" s="614"/>
      <c r="G20" s="623"/>
      <c r="H20" s="614"/>
    </row>
    <row r="21" spans="1:8" x14ac:dyDescent="0.35">
      <c r="A21" s="614"/>
      <c r="B21" s="614"/>
      <c r="C21" s="614"/>
      <c r="D21" s="614"/>
      <c r="E21" s="613"/>
      <c r="F21" s="614"/>
      <c r="G21" s="614"/>
      <c r="H21" s="614"/>
    </row>
    <row r="22" spans="1:8" ht="18.75" customHeight="1" x14ac:dyDescent="0.35">
      <c r="A22" s="646" t="s">
        <v>452</v>
      </c>
      <c r="B22" s="653"/>
      <c r="C22" s="624"/>
      <c r="D22" s="624"/>
      <c r="E22" s="625"/>
      <c r="F22" s="614"/>
      <c r="G22" s="614"/>
      <c r="H22" s="614"/>
    </row>
    <row r="23" spans="1:8" ht="18.75" customHeight="1" x14ac:dyDescent="0.35">
      <c r="A23" s="654" t="s">
        <v>294</v>
      </c>
      <c r="B23" s="853" t="s">
        <v>2</v>
      </c>
      <c r="C23" s="853" t="s">
        <v>360</v>
      </c>
      <c r="D23" s="853" t="s">
        <v>447</v>
      </c>
      <c r="E23" s="858" t="s">
        <v>453</v>
      </c>
      <c r="F23" s="853" t="s">
        <v>277</v>
      </c>
      <c r="G23" s="853" t="s">
        <v>281</v>
      </c>
      <c r="H23" s="614"/>
    </row>
    <row r="24" spans="1:8" x14ac:dyDescent="0.35">
      <c r="A24" s="655"/>
      <c r="B24" s="854"/>
      <c r="C24" s="854"/>
      <c r="D24" s="854"/>
      <c r="E24" s="859"/>
      <c r="F24" s="854"/>
      <c r="G24" s="854"/>
      <c r="H24" s="614"/>
    </row>
    <row r="25" spans="1:8" x14ac:dyDescent="0.35">
      <c r="A25" s="611" t="s">
        <v>588</v>
      </c>
      <c r="B25" s="656" t="s">
        <v>293</v>
      </c>
      <c r="C25" s="626">
        <f>Ruumid!C64</f>
        <v>8741.0000000000018</v>
      </c>
      <c r="D25" s="626">
        <f>Tulud75!N33</f>
        <v>5514.6000000000013</v>
      </c>
      <c r="E25" s="626">
        <f>Tulud75!O33</f>
        <v>1838.2000000000005</v>
      </c>
      <c r="F25" s="611"/>
      <c r="G25" s="626">
        <f>C25-D25-E25</f>
        <v>1388.2</v>
      </c>
      <c r="H25" s="614"/>
    </row>
    <row r="26" spans="1:8" x14ac:dyDescent="0.35">
      <c r="A26" s="611"/>
      <c r="B26" s="656"/>
      <c r="C26" s="673">
        <f>C25/$C$25</f>
        <v>1</v>
      </c>
      <c r="D26" s="673">
        <f>D25/$C$25</f>
        <v>0.63088891431186367</v>
      </c>
      <c r="E26" s="673">
        <f>E25/$C$25</f>
        <v>0.21029630477062122</v>
      </c>
      <c r="F26" s="611"/>
      <c r="G26" s="627">
        <f>G25/$C$25</f>
        <v>0.15881478091751514</v>
      </c>
      <c r="H26" s="614"/>
    </row>
    <row r="27" spans="1:8" hidden="1" x14ac:dyDescent="0.35">
      <c r="A27" s="611"/>
      <c r="B27" s="656"/>
      <c r="C27" s="628"/>
      <c r="D27" s="628"/>
      <c r="E27" s="628"/>
      <c r="F27" s="611"/>
      <c r="G27" s="626"/>
      <c r="H27" s="614"/>
    </row>
    <row r="28" spans="1:8" hidden="1" x14ac:dyDescent="0.35">
      <c r="A28" s="611"/>
      <c r="B28" s="656"/>
      <c r="C28" s="673"/>
      <c r="D28" s="673"/>
      <c r="E28" s="673"/>
      <c r="F28" s="627"/>
      <c r="G28" s="627"/>
      <c r="H28" s="614"/>
    </row>
    <row r="29" spans="1:8" x14ac:dyDescent="0.35">
      <c r="A29" s="614"/>
      <c r="B29" s="657"/>
      <c r="C29" s="712"/>
      <c r="D29" s="712"/>
      <c r="E29" s="712"/>
      <c r="F29" s="658"/>
      <c r="G29" s="658"/>
      <c r="H29" s="614"/>
    </row>
    <row r="30" spans="1:8" x14ac:dyDescent="0.35">
      <c r="A30" s="646" t="s">
        <v>482</v>
      </c>
      <c r="B30" s="657"/>
      <c r="C30" s="712"/>
      <c r="D30" s="712"/>
      <c r="E30" s="712"/>
      <c r="F30" s="658"/>
      <c r="G30" s="658"/>
      <c r="H30" s="614"/>
    </row>
    <row r="31" spans="1:8" ht="15" customHeight="1" x14ac:dyDescent="0.35">
      <c r="A31" s="654" t="s">
        <v>294</v>
      </c>
      <c r="B31" s="855" t="s">
        <v>2</v>
      </c>
      <c r="C31" s="857" t="s">
        <v>483</v>
      </c>
      <c r="D31" s="857"/>
      <c r="E31" s="857"/>
      <c r="F31" s="614"/>
      <c r="G31" s="614"/>
      <c r="H31" s="614"/>
    </row>
    <row r="32" spans="1:8" ht="43.5" x14ac:dyDescent="0.35">
      <c r="A32" s="655"/>
      <c r="B32" s="856"/>
      <c r="C32" s="659" t="s">
        <v>484</v>
      </c>
      <c r="D32" s="660" t="s">
        <v>485</v>
      </c>
      <c r="E32" s="659" t="s">
        <v>360</v>
      </c>
      <c r="F32" s="614"/>
      <c r="G32" s="614"/>
      <c r="H32" s="614"/>
    </row>
    <row r="33" spans="1:8" x14ac:dyDescent="0.35">
      <c r="A33" s="611" t="s">
        <v>588</v>
      </c>
      <c r="B33" s="661" t="s">
        <v>293</v>
      </c>
      <c r="C33" s="626">
        <f>Tulud75!N33</f>
        <v>5514.6000000000013</v>
      </c>
      <c r="D33" s="626">
        <f>Tulud75!O33</f>
        <v>1838.2000000000005</v>
      </c>
      <c r="E33" s="626">
        <f>SUM(C33:D33)</f>
        <v>7352.800000000002</v>
      </c>
      <c r="F33" s="614"/>
      <c r="G33" s="614"/>
      <c r="H33" s="614"/>
    </row>
    <row r="34" spans="1:8" x14ac:dyDescent="0.35">
      <c r="A34" s="611"/>
      <c r="B34" s="661"/>
      <c r="C34" s="627">
        <f>C33/E33</f>
        <v>0.75</v>
      </c>
      <c r="D34" s="627">
        <f>D33/E33</f>
        <v>0.25</v>
      </c>
      <c r="E34" s="627">
        <f>E33/E33</f>
        <v>1</v>
      </c>
      <c r="F34" s="614"/>
      <c r="G34" s="614"/>
      <c r="H34" s="614"/>
    </row>
    <row r="35" spans="1:8" hidden="1" x14ac:dyDescent="0.35">
      <c r="A35" s="611"/>
      <c r="B35" s="661"/>
      <c r="C35" s="628"/>
      <c r="D35" s="628"/>
      <c r="E35" s="626"/>
      <c r="F35" s="614"/>
      <c r="G35" s="614"/>
      <c r="H35" s="614"/>
    </row>
    <row r="36" spans="1:8" hidden="1" x14ac:dyDescent="0.35">
      <c r="A36" s="611"/>
      <c r="B36" s="661"/>
      <c r="C36" s="627"/>
      <c r="D36" s="627"/>
      <c r="E36" s="627"/>
      <c r="F36" s="614"/>
      <c r="G36" s="614"/>
      <c r="H36" s="614"/>
    </row>
    <row r="37" spans="1:8" x14ac:dyDescent="0.35">
      <c r="A37" s="611" t="s">
        <v>360</v>
      </c>
      <c r="B37" s="662" t="s">
        <v>293</v>
      </c>
      <c r="C37" s="663">
        <f>C33+C35</f>
        <v>5514.6000000000013</v>
      </c>
      <c r="D37" s="663">
        <f>D33+D35</f>
        <v>1838.2000000000005</v>
      </c>
      <c r="E37" s="663">
        <f>E33+E35</f>
        <v>7352.800000000002</v>
      </c>
      <c r="F37" s="614"/>
      <c r="G37" s="614"/>
      <c r="H37" s="614"/>
    </row>
    <row r="38" spans="1:8" x14ac:dyDescent="0.35">
      <c r="A38" s="611"/>
      <c r="B38" s="661"/>
      <c r="C38" s="627">
        <f>C37/E37</f>
        <v>0.75</v>
      </c>
      <c r="D38" s="627">
        <f>D37/E37</f>
        <v>0.25</v>
      </c>
      <c r="E38" s="627">
        <f>E37/E37</f>
        <v>1</v>
      </c>
      <c r="F38" s="614"/>
      <c r="G38" s="614"/>
      <c r="H38" s="614"/>
    </row>
    <row r="39" spans="1:8" x14ac:dyDescent="0.35">
      <c r="A39" s="614"/>
      <c r="B39" s="614"/>
      <c r="C39" s="614"/>
      <c r="D39" s="614"/>
      <c r="E39" s="613"/>
      <c r="F39" s="614"/>
      <c r="G39" s="614"/>
      <c r="H39" s="614"/>
    </row>
    <row r="40" spans="1:8" x14ac:dyDescent="0.35">
      <c r="A40" s="646" t="s">
        <v>454</v>
      </c>
      <c r="B40" s="614"/>
      <c r="C40" s="614"/>
      <c r="D40" s="614"/>
      <c r="E40" s="613"/>
      <c r="F40" s="614"/>
      <c r="G40" s="614" t="s">
        <v>459</v>
      </c>
      <c r="H40" s="614"/>
    </row>
    <row r="41" spans="1:8" ht="43.5" x14ac:dyDescent="0.35">
      <c r="A41" s="664" t="s">
        <v>294</v>
      </c>
      <c r="B41" s="659" t="str">
        <f>B23</f>
        <v>Ühik</v>
      </c>
      <c r="C41" s="659" t="s">
        <v>456</v>
      </c>
      <c r="D41" s="660" t="s">
        <v>457</v>
      </c>
      <c r="E41" s="660" t="s">
        <v>458</v>
      </c>
      <c r="F41" s="614"/>
      <c r="G41" s="659" t="s">
        <v>460</v>
      </c>
      <c r="H41" s="659" t="s">
        <v>461</v>
      </c>
    </row>
    <row r="42" spans="1:8" x14ac:dyDescent="0.35">
      <c r="A42" s="611" t="str">
        <f>A33</f>
        <v>Loometööstuse inkubaator stuudiotega</v>
      </c>
      <c r="B42" s="611" t="s">
        <v>455</v>
      </c>
      <c r="C42" s="665">
        <v>1</v>
      </c>
      <c r="D42" s="611">
        <f>C42*8</f>
        <v>8</v>
      </c>
      <c r="E42" s="626">
        <f>D42*250</f>
        <v>2000</v>
      </c>
      <c r="F42" s="614"/>
      <c r="G42" s="665">
        <v>8</v>
      </c>
      <c r="H42" s="611">
        <f>G42*250</f>
        <v>2000</v>
      </c>
    </row>
    <row r="43" spans="1:8" hidden="1" x14ac:dyDescent="0.35">
      <c r="A43" s="611"/>
      <c r="B43" s="611"/>
      <c r="C43" s="665"/>
      <c r="D43" s="611"/>
      <c r="E43" s="626"/>
      <c r="F43" s="614"/>
      <c r="G43" s="665"/>
      <c r="H43" s="611"/>
    </row>
    <row r="44" spans="1:8" x14ac:dyDescent="0.35">
      <c r="A44" s="614"/>
      <c r="B44" s="614"/>
      <c r="C44" s="614"/>
      <c r="D44" s="614"/>
      <c r="E44" s="613"/>
      <c r="F44" s="614"/>
      <c r="G44" s="614"/>
      <c r="H44" s="614"/>
    </row>
    <row r="45" spans="1:8" x14ac:dyDescent="0.35">
      <c r="A45" s="646" t="s">
        <v>462</v>
      </c>
      <c r="B45" s="614"/>
      <c r="C45" s="614"/>
      <c r="D45" s="614"/>
      <c r="E45" s="614"/>
      <c r="F45" s="614"/>
      <c r="G45" s="614"/>
      <c r="H45" s="614"/>
    </row>
    <row r="46" spans="1:8" ht="29" x14ac:dyDescent="0.35">
      <c r="A46" s="664" t="s">
        <v>294</v>
      </c>
      <c r="B46" s="659" t="s">
        <v>464</v>
      </c>
      <c r="C46" s="659" t="s">
        <v>463</v>
      </c>
      <c r="D46" s="614"/>
      <c r="E46" s="614"/>
      <c r="F46" s="614"/>
      <c r="G46" s="614"/>
      <c r="H46" s="614"/>
    </row>
    <row r="47" spans="1:8" x14ac:dyDescent="0.35">
      <c r="A47" s="611" t="str">
        <f>A42</f>
        <v>Loometööstuse inkubaator stuudiotega</v>
      </c>
      <c r="B47" s="611">
        <v>20</v>
      </c>
      <c r="C47" s="628">
        <f>C33/B47</f>
        <v>275.73000000000008</v>
      </c>
      <c r="D47" s="614"/>
      <c r="E47" s="614"/>
      <c r="F47" s="614"/>
      <c r="G47" s="614"/>
      <c r="H47" s="614"/>
    </row>
    <row r="48" spans="1:8" x14ac:dyDescent="0.35">
      <c r="A48" s="611"/>
      <c r="B48" s="611"/>
      <c r="C48" s="628"/>
      <c r="D48" s="614"/>
      <c r="E48" s="614"/>
      <c r="F48" s="614"/>
      <c r="G48" s="614"/>
      <c r="H48" s="614"/>
    </row>
    <row r="49" spans="1:8" x14ac:dyDescent="0.35">
      <c r="A49" s="611" t="s">
        <v>360</v>
      </c>
      <c r="B49" s="611"/>
      <c r="C49" s="628">
        <f>SUM(C47:C48)</f>
        <v>275.73000000000008</v>
      </c>
      <c r="D49" s="614"/>
      <c r="E49" s="614"/>
      <c r="F49" s="614"/>
      <c r="G49" s="614"/>
      <c r="H49" s="614"/>
    </row>
    <row r="50" spans="1:8" x14ac:dyDescent="0.35">
      <c r="E50" s="366"/>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4819-6EFF-474E-A24A-205A0B91A298}">
  <sheetPr>
    <tabColor rgb="FFFF0000"/>
  </sheetPr>
  <dimension ref="A1:T52"/>
  <sheetViews>
    <sheetView workbookViewId="0">
      <pane xSplit="3" ySplit="5" topLeftCell="E26" activePane="bottomRight" state="frozen"/>
      <selection pane="topRight" activeCell="D1" sqref="D1"/>
      <selection pane="bottomLeft" activeCell="A6" sqref="A6"/>
      <selection pane="bottomRight" activeCell="H33" sqref="H33"/>
    </sheetView>
  </sheetViews>
  <sheetFormatPr defaultColWidth="9.1796875" defaultRowHeight="14.5" outlineLevelCol="1" x14ac:dyDescent="0.35"/>
  <cols>
    <col min="1" max="1" width="33.54296875" style="365" customWidth="1"/>
    <col min="2" max="2" width="17.26953125" style="365" customWidth="1"/>
    <col min="3" max="3" width="15.54296875" style="365" customWidth="1"/>
    <col min="4" max="4" width="20" style="365" customWidth="1"/>
    <col min="5" max="5" width="10.453125" style="365" customWidth="1"/>
    <col min="6" max="6" width="15.453125" style="365" customWidth="1"/>
    <col min="7" max="7" width="12.26953125" style="365" customWidth="1"/>
    <col min="8" max="8" width="12.54296875" style="365" customWidth="1"/>
    <col min="9" max="9" width="11.7265625" style="365" customWidth="1"/>
    <col min="10" max="10" width="11.7265625" style="365" hidden="1" customWidth="1"/>
    <col min="11" max="11" width="9.1796875" style="365" hidden="1" customWidth="1"/>
    <col min="12" max="12" width="9.1796875" style="365" hidden="1" customWidth="1" outlineLevel="1"/>
    <col min="13" max="13" width="10.54296875" style="365" hidden="1" customWidth="1" outlineLevel="1"/>
    <col min="14" max="14" width="9.1796875" style="365" hidden="1" customWidth="1" outlineLevel="1"/>
    <col min="15" max="15" width="9.26953125" style="365" hidden="1" customWidth="1" outlineLevel="1"/>
    <col min="16" max="19" width="0" style="365" hidden="1" customWidth="1" outlineLevel="1"/>
    <col min="20" max="20" width="9.1796875" style="365" collapsed="1"/>
    <col min="21" max="16384" width="9.1796875" style="365"/>
  </cols>
  <sheetData>
    <row r="1" spans="1:19" x14ac:dyDescent="0.35">
      <c r="A1" s="646" t="s">
        <v>38</v>
      </c>
      <c r="B1" s="614"/>
      <c r="C1" s="614"/>
      <c r="D1" s="614"/>
      <c r="E1" s="666"/>
      <c r="F1" s="614"/>
      <c r="G1" s="666"/>
      <c r="H1" s="666"/>
      <c r="I1" s="616"/>
      <c r="J1"/>
      <c r="K1"/>
      <c r="L1"/>
      <c r="M1"/>
      <c r="N1"/>
      <c r="O1"/>
      <c r="P1"/>
      <c r="Q1"/>
    </row>
    <row r="2" spans="1:19" x14ac:dyDescent="0.35">
      <c r="A2" s="614"/>
      <c r="B2" s="614"/>
      <c r="C2" s="614"/>
      <c r="D2" s="614"/>
      <c r="E2" s="614"/>
      <c r="F2" s="614"/>
      <c r="G2" s="614"/>
      <c r="H2" s="614"/>
      <c r="I2" s="614"/>
      <c r="J2"/>
      <c r="K2"/>
      <c r="L2"/>
      <c r="M2"/>
      <c r="N2"/>
      <c r="O2"/>
      <c r="P2"/>
      <c r="Q2"/>
    </row>
    <row r="3" spans="1:19" x14ac:dyDescent="0.35">
      <c r="A3" s="646" t="s">
        <v>412</v>
      </c>
      <c r="B3" s="614"/>
      <c r="C3" s="614"/>
      <c r="D3" s="614"/>
      <c r="E3" s="614"/>
      <c r="F3" s="614"/>
      <c r="G3" s="614"/>
      <c r="H3" s="614"/>
      <c r="I3" s="614"/>
      <c r="J3"/>
      <c r="K3"/>
      <c r="L3"/>
      <c r="M3"/>
      <c r="N3"/>
      <c r="O3"/>
      <c r="P3"/>
      <c r="Q3"/>
    </row>
    <row r="4" spans="1:19" x14ac:dyDescent="0.35">
      <c r="A4" s="614"/>
      <c r="B4" s="614"/>
      <c r="C4" s="614"/>
      <c r="D4" s="614"/>
      <c r="E4" s="614"/>
      <c r="F4" s="614"/>
      <c r="G4" s="614"/>
      <c r="H4" s="614"/>
      <c r="I4" s="614"/>
      <c r="J4"/>
      <c r="K4"/>
      <c r="L4"/>
      <c r="M4"/>
      <c r="N4"/>
      <c r="O4"/>
      <c r="P4"/>
      <c r="Q4"/>
    </row>
    <row r="5" spans="1:19" ht="45.75" customHeight="1" x14ac:dyDescent="0.35">
      <c r="A5" s="667" t="s">
        <v>294</v>
      </c>
      <c r="B5" s="667" t="s">
        <v>474</v>
      </c>
      <c r="C5" s="667" t="s">
        <v>475</v>
      </c>
      <c r="D5" s="667" t="s">
        <v>490</v>
      </c>
      <c r="E5" s="667" t="s">
        <v>0</v>
      </c>
      <c r="F5" s="668" t="s">
        <v>491</v>
      </c>
      <c r="G5" s="667" t="s">
        <v>492</v>
      </c>
      <c r="H5" s="667" t="s">
        <v>493</v>
      </c>
      <c r="I5" s="667" t="s">
        <v>494</v>
      </c>
      <c r="J5"/>
      <c r="K5"/>
      <c r="L5"/>
      <c r="M5" s="715" t="s">
        <v>531</v>
      </c>
      <c r="N5" s="715" t="s">
        <v>532</v>
      </c>
      <c r="O5" s="715" t="s">
        <v>533</v>
      </c>
      <c r="P5"/>
      <c r="Q5" s="715" t="s">
        <v>534</v>
      </c>
      <c r="R5" s="715" t="s">
        <v>535</v>
      </c>
      <c r="S5" s="715" t="s">
        <v>536</v>
      </c>
    </row>
    <row r="6" spans="1:19" hidden="1" x14ac:dyDescent="0.35">
      <c r="A6" s="669" t="s">
        <v>292</v>
      </c>
      <c r="B6" s="611"/>
      <c r="C6" s="611"/>
      <c r="D6" s="611"/>
      <c r="E6" s="611"/>
      <c r="F6" s="611"/>
      <c r="G6" s="611"/>
      <c r="H6" s="611"/>
      <c r="I6" s="611"/>
      <c r="J6"/>
      <c r="K6"/>
      <c r="L6"/>
      <c r="M6" s="490"/>
      <c r="N6" s="490"/>
      <c r="O6" s="490"/>
      <c r="P6"/>
      <c r="Q6" s="490"/>
      <c r="R6" s="708"/>
      <c r="S6" s="708"/>
    </row>
    <row r="7" spans="1:19" hidden="1" x14ac:dyDescent="0.35">
      <c r="A7" s="639"/>
      <c r="B7" s="641"/>
      <c r="C7" s="641"/>
      <c r="D7" s="670"/>
      <c r="E7" s="670"/>
      <c r="F7" s="670"/>
      <c r="G7" s="671"/>
      <c r="H7" s="671"/>
      <c r="I7" s="671"/>
      <c r="J7"/>
      <c r="K7"/>
      <c r="L7"/>
      <c r="M7" s="490"/>
      <c r="N7" s="490"/>
      <c r="O7" s="490"/>
      <c r="P7"/>
      <c r="Q7" s="490"/>
      <c r="R7" s="708"/>
      <c r="S7" s="708"/>
    </row>
    <row r="8" spans="1:19" hidden="1" x14ac:dyDescent="0.35">
      <c r="A8" s="611"/>
      <c r="B8" s="611"/>
      <c r="C8" s="611"/>
      <c r="D8" s="656"/>
      <c r="E8" s="611"/>
      <c r="F8" s="672"/>
      <c r="G8" s="626"/>
      <c r="H8" s="626"/>
      <c r="I8" s="627"/>
      <c r="J8"/>
      <c r="K8" t="s">
        <v>275</v>
      </c>
      <c r="L8"/>
      <c r="M8" s="490">
        <f>B8</f>
        <v>0</v>
      </c>
      <c r="N8" s="490">
        <f>B8*F8</f>
        <v>0</v>
      </c>
      <c r="O8" s="490">
        <f>M8-N8</f>
        <v>0</v>
      </c>
      <c r="P8"/>
      <c r="Q8" s="490"/>
      <c r="R8" s="708"/>
      <c r="S8" s="708"/>
    </row>
    <row r="9" spans="1:19" hidden="1" x14ac:dyDescent="0.35">
      <c r="A9" s="611"/>
      <c r="B9" s="611"/>
      <c r="C9" s="611"/>
      <c r="D9" s="656"/>
      <c r="E9" s="611"/>
      <c r="F9" s="627"/>
      <c r="G9" s="626"/>
      <c r="H9" s="626"/>
      <c r="I9" s="627"/>
      <c r="J9"/>
      <c r="K9" t="s">
        <v>277</v>
      </c>
      <c r="L9"/>
      <c r="M9" s="490">
        <f>B9</f>
        <v>0</v>
      </c>
      <c r="N9" s="490">
        <f>B9*F9</f>
        <v>0</v>
      </c>
      <c r="O9" s="490">
        <f>M9-N9</f>
        <v>0</v>
      </c>
      <c r="P9"/>
      <c r="Q9" s="490"/>
      <c r="R9" s="708"/>
      <c r="S9" s="708"/>
    </row>
    <row r="10" spans="1:19" hidden="1" x14ac:dyDescent="0.35">
      <c r="A10" s="639"/>
      <c r="B10" s="641"/>
      <c r="C10" s="641"/>
      <c r="D10" s="670"/>
      <c r="E10" s="670"/>
      <c r="F10" s="670"/>
      <c r="G10" s="671"/>
      <c r="H10" s="671"/>
      <c r="I10" s="671"/>
      <c r="J10"/>
      <c r="K10"/>
      <c r="L10"/>
      <c r="M10" s="490"/>
      <c r="N10" s="490"/>
      <c r="O10" s="490"/>
      <c r="P10"/>
      <c r="Q10" s="490"/>
      <c r="R10" s="708"/>
      <c r="S10" s="708"/>
    </row>
    <row r="11" spans="1:19" hidden="1" x14ac:dyDescent="0.35">
      <c r="A11" s="611"/>
      <c r="B11" s="611"/>
      <c r="C11" s="611"/>
      <c r="D11" s="656"/>
      <c r="E11" s="611"/>
      <c r="F11" s="672"/>
      <c r="G11" s="626"/>
      <c r="H11" s="626"/>
      <c r="I11" s="627"/>
      <c r="J11"/>
      <c r="K11" t="s">
        <v>275</v>
      </c>
      <c r="L11"/>
      <c r="M11" s="490">
        <f>B11</f>
        <v>0</v>
      </c>
      <c r="N11" s="490">
        <f>B11*F11</f>
        <v>0</v>
      </c>
      <c r="O11" s="490">
        <f>M11-N11</f>
        <v>0</v>
      </c>
      <c r="P11"/>
      <c r="Q11" s="490"/>
      <c r="R11" s="708"/>
      <c r="S11" s="708"/>
    </row>
    <row r="12" spans="1:19" hidden="1" x14ac:dyDescent="0.35">
      <c r="A12" s="639"/>
      <c r="B12" s="639"/>
      <c r="C12" s="641"/>
      <c r="D12" s="670"/>
      <c r="E12" s="670"/>
      <c r="F12" s="670"/>
      <c r="G12" s="671"/>
      <c r="H12" s="671"/>
      <c r="I12" s="671"/>
      <c r="J12"/>
      <c r="K12"/>
      <c r="L12"/>
      <c r="M12" s="490"/>
      <c r="N12" s="490"/>
      <c r="O12" s="490"/>
      <c r="P12"/>
      <c r="Q12" s="490"/>
      <c r="R12" s="708"/>
      <c r="S12" s="708"/>
    </row>
    <row r="13" spans="1:19" hidden="1" x14ac:dyDescent="0.35">
      <c r="A13" s="611"/>
      <c r="B13" s="611"/>
      <c r="C13" s="611"/>
      <c r="D13" s="656"/>
      <c r="E13" s="611"/>
      <c r="F13" s="672"/>
      <c r="G13" s="626"/>
      <c r="H13" s="626"/>
      <c r="I13" s="627"/>
      <c r="J13"/>
      <c r="K13" t="s">
        <v>277</v>
      </c>
      <c r="L13"/>
      <c r="M13" s="490">
        <f>B13</f>
        <v>0</v>
      </c>
      <c r="N13" s="490">
        <f>B13*F13</f>
        <v>0</v>
      </c>
      <c r="O13" s="490">
        <f t="shared" ref="O13:O14" si="0">M13-N13</f>
        <v>0</v>
      </c>
      <c r="P13"/>
      <c r="Q13" s="490"/>
      <c r="R13" s="708"/>
      <c r="S13" s="708"/>
    </row>
    <row r="14" spans="1:19" hidden="1" x14ac:dyDescent="0.35">
      <c r="A14" s="611"/>
      <c r="B14" s="611"/>
      <c r="C14" s="611"/>
      <c r="D14" s="611"/>
      <c r="E14" s="611"/>
      <c r="F14" s="672"/>
      <c r="G14" s="626"/>
      <c r="H14" s="626"/>
      <c r="I14" s="627"/>
      <c r="J14"/>
      <c r="K14" t="s">
        <v>277</v>
      </c>
      <c r="L14"/>
      <c r="M14" s="490">
        <f>B14</f>
        <v>0</v>
      </c>
      <c r="N14" s="490">
        <f>B14*F14</f>
        <v>0</v>
      </c>
      <c r="O14" s="490">
        <f t="shared" si="0"/>
        <v>0</v>
      </c>
      <c r="P14"/>
      <c r="Q14" s="490"/>
      <c r="R14" s="708"/>
      <c r="S14" s="708"/>
    </row>
    <row r="15" spans="1:19" hidden="1" x14ac:dyDescent="0.35">
      <c r="A15" s="639"/>
      <c r="B15" s="641"/>
      <c r="C15" s="641"/>
      <c r="D15" s="670"/>
      <c r="E15" s="670"/>
      <c r="F15" s="670"/>
      <c r="G15" s="671"/>
      <c r="H15" s="671"/>
      <c r="I15" s="671"/>
      <c r="J15"/>
      <c r="K15"/>
      <c r="L15"/>
      <c r="M15" s="490"/>
      <c r="N15" s="490"/>
      <c r="O15" s="490"/>
      <c r="P15"/>
      <c r="Q15" s="490"/>
      <c r="R15" s="708"/>
      <c r="S15" s="708"/>
    </row>
    <row r="16" spans="1:19" hidden="1" x14ac:dyDescent="0.35">
      <c r="A16" s="611"/>
      <c r="B16" s="611"/>
      <c r="C16" s="611"/>
      <c r="D16" s="656"/>
      <c r="E16" s="611"/>
      <c r="F16" s="672"/>
      <c r="G16" s="626"/>
      <c r="H16" s="626"/>
      <c r="I16" s="627"/>
      <c r="J16"/>
      <c r="K16" t="s">
        <v>275</v>
      </c>
      <c r="L16"/>
      <c r="M16" s="490">
        <f>B16</f>
        <v>0</v>
      </c>
      <c r="N16" s="490">
        <f>B16*F16</f>
        <v>0</v>
      </c>
      <c r="O16" s="490">
        <f t="shared" ref="O16:O17" si="1">M16-N16</f>
        <v>0</v>
      </c>
      <c r="P16"/>
      <c r="Q16" s="490"/>
      <c r="R16" s="708"/>
      <c r="S16" s="708"/>
    </row>
    <row r="17" spans="1:19" hidden="1" x14ac:dyDescent="0.35">
      <c r="A17" s="611"/>
      <c r="B17" s="611"/>
      <c r="C17" s="611"/>
      <c r="D17" s="656"/>
      <c r="E17" s="611"/>
      <c r="F17" s="672"/>
      <c r="G17" s="626"/>
      <c r="H17" s="626"/>
      <c r="I17" s="627"/>
      <c r="J17"/>
      <c r="K17" t="s">
        <v>275</v>
      </c>
      <c r="L17"/>
      <c r="M17" s="490">
        <f>B17</f>
        <v>0</v>
      </c>
      <c r="N17" s="490">
        <f>B17*F17</f>
        <v>0</v>
      </c>
      <c r="O17" s="490">
        <f t="shared" si="1"/>
        <v>0</v>
      </c>
      <c r="P17"/>
      <c r="Q17" s="490"/>
      <c r="R17" s="708"/>
      <c r="S17" s="708"/>
    </row>
    <row r="18" spans="1:19" hidden="1" x14ac:dyDescent="0.35">
      <c r="A18" s="639"/>
      <c r="B18" s="641"/>
      <c r="C18" s="641"/>
      <c r="D18" s="670"/>
      <c r="E18" s="670"/>
      <c r="F18" s="670"/>
      <c r="G18" s="671"/>
      <c r="H18" s="671"/>
      <c r="I18" s="671"/>
      <c r="J18"/>
      <c r="K18"/>
      <c r="L18"/>
      <c r="M18" s="490"/>
      <c r="N18" s="490"/>
      <c r="O18" s="490"/>
      <c r="P18"/>
      <c r="Q18" s="490"/>
      <c r="R18" s="708"/>
      <c r="S18" s="708"/>
    </row>
    <row r="19" spans="1:19" hidden="1" x14ac:dyDescent="0.35">
      <c r="A19" s="611"/>
      <c r="B19" s="611"/>
      <c r="C19" s="611"/>
      <c r="D19" s="656"/>
      <c r="E19" s="611"/>
      <c r="F19" s="673"/>
      <c r="G19" s="626"/>
      <c r="H19" s="626"/>
      <c r="I19" s="627"/>
      <c r="J19" s="496"/>
      <c r="K19" t="s">
        <v>275</v>
      </c>
      <c r="L19"/>
      <c r="M19" s="490">
        <f>B19</f>
        <v>0</v>
      </c>
      <c r="N19" s="490">
        <f>B19*F19</f>
        <v>0</v>
      </c>
      <c r="O19" s="490">
        <f t="shared" ref="O19:O20" si="2">M19-N19</f>
        <v>0</v>
      </c>
      <c r="P19"/>
      <c r="Q19" s="490"/>
      <c r="R19" s="708"/>
      <c r="S19" s="708"/>
    </row>
    <row r="20" spans="1:19" hidden="1" x14ac:dyDescent="0.35">
      <c r="A20" s="611"/>
      <c r="B20" s="611"/>
      <c r="C20" s="611"/>
      <c r="D20" s="656"/>
      <c r="E20" s="611"/>
      <c r="F20" s="673"/>
      <c r="G20" s="626"/>
      <c r="H20" s="626"/>
      <c r="I20" s="627"/>
      <c r="J20"/>
      <c r="K20" t="s">
        <v>275</v>
      </c>
      <c r="L20"/>
      <c r="M20" s="490">
        <f>B20</f>
        <v>0</v>
      </c>
      <c r="N20" s="490">
        <f>B20*F20</f>
        <v>0</v>
      </c>
      <c r="O20" s="490">
        <f t="shared" si="2"/>
        <v>0</v>
      </c>
      <c r="P20"/>
      <c r="Q20" s="490"/>
      <c r="R20" s="708"/>
      <c r="S20" s="708"/>
    </row>
    <row r="21" spans="1:19" hidden="1" x14ac:dyDescent="0.35">
      <c r="A21" s="639"/>
      <c r="B21" s="639"/>
      <c r="C21" s="641"/>
      <c r="D21" s="670"/>
      <c r="E21" s="670"/>
      <c r="F21" s="670"/>
      <c r="G21" s="671"/>
      <c r="H21" s="671"/>
      <c r="I21" s="671"/>
      <c r="J21"/>
      <c r="K21"/>
      <c r="L21"/>
      <c r="M21" s="490"/>
      <c r="N21" s="490"/>
      <c r="O21" s="490"/>
      <c r="P21"/>
      <c r="Q21" s="490"/>
      <c r="R21" s="708"/>
      <c r="S21" s="708"/>
    </row>
    <row r="22" spans="1:19" hidden="1" x14ac:dyDescent="0.35">
      <c r="A22" s="611"/>
      <c r="B22" s="611"/>
      <c r="C22" s="611"/>
      <c r="D22" s="656"/>
      <c r="E22" s="611"/>
      <c r="F22" s="672"/>
      <c r="G22" s="626"/>
      <c r="H22" s="626"/>
      <c r="I22" s="627"/>
      <c r="J22"/>
      <c r="K22"/>
      <c r="L22"/>
      <c r="M22" s="490"/>
      <c r="N22" s="490"/>
      <c r="O22" s="490"/>
      <c r="P22"/>
      <c r="Q22" s="490"/>
      <c r="R22" s="708"/>
      <c r="S22" s="708"/>
    </row>
    <row r="23" spans="1:19" hidden="1" x14ac:dyDescent="0.35">
      <c r="A23" s="611"/>
      <c r="B23" s="611"/>
      <c r="C23" s="611"/>
      <c r="D23" s="656"/>
      <c r="E23" s="611"/>
      <c r="F23" s="674"/>
      <c r="G23" s="626"/>
      <c r="H23" s="626"/>
      <c r="I23" s="626"/>
      <c r="J23"/>
      <c r="K23"/>
      <c r="L23"/>
      <c r="M23" s="505">
        <f>SUM(M6:M22)</f>
        <v>0</v>
      </c>
      <c r="N23" s="505">
        <f>SUM(N6:N22)</f>
        <v>0</v>
      </c>
      <c r="O23" s="505">
        <f>SUM(O6:O22)</f>
        <v>0</v>
      </c>
      <c r="P23"/>
      <c r="Q23" s="490"/>
      <c r="R23" s="708"/>
      <c r="S23" s="708"/>
    </row>
    <row r="24" spans="1:19" ht="15" hidden="1" customHeight="1" x14ac:dyDescent="0.35">
      <c r="A24" s="669" t="s">
        <v>285</v>
      </c>
      <c r="B24" s="659"/>
      <c r="C24" s="659"/>
      <c r="D24" s="659"/>
      <c r="E24" s="659"/>
      <c r="F24" s="675"/>
      <c r="G24" s="676"/>
      <c r="H24" s="676"/>
      <c r="I24" s="676"/>
      <c r="J24"/>
      <c r="K24"/>
      <c r="L24"/>
      <c r="M24" s="490"/>
      <c r="N24" s="490"/>
      <c r="O24" s="490"/>
      <c r="P24"/>
      <c r="Q24" s="490"/>
      <c r="R24" s="708"/>
      <c r="S24" s="708"/>
    </row>
    <row r="25" spans="1:19" hidden="1" x14ac:dyDescent="0.35">
      <c r="A25" s="611"/>
      <c r="B25" s="611"/>
      <c r="C25" s="611"/>
      <c r="D25" s="611"/>
      <c r="E25" s="611"/>
      <c r="F25" s="611"/>
      <c r="G25" s="626"/>
      <c r="H25" s="626"/>
      <c r="I25" s="626"/>
      <c r="J25"/>
      <c r="K25"/>
      <c r="L25"/>
      <c r="M25" s="490"/>
      <c r="N25" s="490"/>
      <c r="O25" s="490"/>
      <c r="P25"/>
      <c r="Q25" s="490"/>
      <c r="R25" s="708"/>
      <c r="S25" s="708"/>
    </row>
    <row r="26" spans="1:19" x14ac:dyDescent="0.35">
      <c r="A26" s="639" t="str">
        <f>Ruumid!A50</f>
        <v>1 korrus</v>
      </c>
      <c r="B26" s="641">
        <f>Ruumid!C50</f>
        <v>6651.4000000000015</v>
      </c>
      <c r="C26" s="641">
        <f>Ruumid!D50</f>
        <v>6651.4000000000015</v>
      </c>
      <c r="D26" s="641"/>
      <c r="E26" s="670"/>
      <c r="F26" s="670"/>
      <c r="G26" s="671"/>
      <c r="H26" s="671"/>
      <c r="I26" s="671"/>
      <c r="J26"/>
      <c r="K26"/>
      <c r="L26"/>
      <c r="M26" s="490"/>
      <c r="N26" s="490"/>
      <c r="O26" s="490"/>
      <c r="P26"/>
      <c r="Q26" s="708"/>
      <c r="R26" s="716"/>
      <c r="S26" s="708"/>
    </row>
    <row r="27" spans="1:19" x14ac:dyDescent="0.35">
      <c r="A27" s="611" t="str">
        <f>Ruumid!A51</f>
        <v>Väike stuudio (stuudio 2) koos abiruumidega</v>
      </c>
      <c r="B27" s="611">
        <f>Ruumid!C51</f>
        <v>1953.6000000000004</v>
      </c>
      <c r="C27" s="611">
        <f>Ruumid!D51</f>
        <v>1953.6000000000004</v>
      </c>
      <c r="D27" s="611" t="s">
        <v>496</v>
      </c>
      <c r="E27" s="611">
        <v>500</v>
      </c>
      <c r="F27" s="673">
        <v>0.75</v>
      </c>
      <c r="G27" s="626">
        <f>21*E27*F27</f>
        <v>7875</v>
      </c>
      <c r="H27" s="626">
        <f>G27*12</f>
        <v>94500</v>
      </c>
      <c r="I27" s="627">
        <f t="shared" ref="I27:I29" si="3">H27/$H$33</f>
        <v>0.22987096576455082</v>
      </c>
      <c r="J27"/>
      <c r="K27" t="s">
        <v>275</v>
      </c>
      <c r="L27"/>
      <c r="M27" s="490">
        <f>B27</f>
        <v>1953.6000000000004</v>
      </c>
      <c r="N27" s="490">
        <f>B27*F27</f>
        <v>1465.2000000000003</v>
      </c>
      <c r="O27" s="490">
        <f t="shared" ref="O27:O29" si="4">M27-N27</f>
        <v>488.40000000000009</v>
      </c>
      <c r="P27"/>
      <c r="Q27" s="490">
        <f>21*12</f>
        <v>252</v>
      </c>
      <c r="R27" s="717">
        <f>$Q$27*F27</f>
        <v>189</v>
      </c>
      <c r="S27" s="708">
        <f>Q27-R27</f>
        <v>63</v>
      </c>
    </row>
    <row r="28" spans="1:19" x14ac:dyDescent="0.35">
      <c r="A28" s="611" t="str">
        <f>Ruumid!A53</f>
        <v>Suur stuudio (stuudio 1) koos abiruumidega</v>
      </c>
      <c r="B28" s="611">
        <f>Ruumid!C53</f>
        <v>2323.8000000000011</v>
      </c>
      <c r="C28" s="611">
        <f>Ruumid!D53</f>
        <v>2323.8000000000011</v>
      </c>
      <c r="D28" s="611" t="s">
        <v>496</v>
      </c>
      <c r="E28" s="611">
        <v>650</v>
      </c>
      <c r="F28" s="673">
        <v>0.75</v>
      </c>
      <c r="G28" s="626">
        <f>21*E28*F28</f>
        <v>10237.5</v>
      </c>
      <c r="H28" s="626">
        <f>G28*12</f>
        <v>122850</v>
      </c>
      <c r="I28" s="627">
        <f t="shared" si="3"/>
        <v>0.29883225549391607</v>
      </c>
      <c r="J28"/>
      <c r="K28" t="s">
        <v>275</v>
      </c>
      <c r="L28"/>
      <c r="M28" s="490">
        <f>B28</f>
        <v>2323.8000000000011</v>
      </c>
      <c r="N28" s="490">
        <f>B28*F28</f>
        <v>1742.8500000000008</v>
      </c>
      <c r="O28" s="490">
        <f t="shared" si="4"/>
        <v>580.95000000000027</v>
      </c>
      <c r="P28"/>
      <c r="Q28" s="708">
        <f>Q27</f>
        <v>252</v>
      </c>
      <c r="R28" s="717">
        <f>Q27*F28</f>
        <v>189</v>
      </c>
      <c r="S28" s="708">
        <f>Q28-R28</f>
        <v>63</v>
      </c>
    </row>
    <row r="29" spans="1:19" x14ac:dyDescent="0.35">
      <c r="A29" s="611" t="str">
        <f>Ruumid!A56</f>
        <v>Laod ja töökojad</v>
      </c>
      <c r="B29" s="611">
        <f>Ruumid!C56</f>
        <v>1807.8</v>
      </c>
      <c r="C29" s="611">
        <f>Ruumid!D56</f>
        <v>1807.8</v>
      </c>
      <c r="D29" s="611" t="s">
        <v>495</v>
      </c>
      <c r="E29" s="611">
        <v>7</v>
      </c>
      <c r="F29" s="672">
        <v>0.75</v>
      </c>
      <c r="G29" s="626">
        <f>C29*E29*F29</f>
        <v>9490.9500000000007</v>
      </c>
      <c r="H29" s="626">
        <f>G29*12</f>
        <v>113891.40000000001</v>
      </c>
      <c r="I29" s="627">
        <f t="shared" si="3"/>
        <v>0.2770404879394367</v>
      </c>
      <c r="J29"/>
      <c r="K29" t="s">
        <v>275</v>
      </c>
      <c r="L29"/>
      <c r="M29" s="490">
        <f>B29</f>
        <v>1807.8</v>
      </c>
      <c r="N29" s="717">
        <f>B29*F29</f>
        <v>1355.85</v>
      </c>
      <c r="O29" s="490">
        <f t="shared" si="4"/>
        <v>451.95000000000005</v>
      </c>
      <c r="P29"/>
      <c r="Q29" s="490"/>
      <c r="R29" s="708"/>
      <c r="S29" s="708"/>
    </row>
    <row r="30" spans="1:19" x14ac:dyDescent="0.35">
      <c r="A30" s="639" t="str">
        <f>Ruumid!A58</f>
        <v>2 korrus</v>
      </c>
      <c r="B30" s="641">
        <f>Ruumid!C58</f>
        <v>2089.6000000000004</v>
      </c>
      <c r="C30" s="641">
        <f>Ruumid!D58</f>
        <v>2089.6000000000004</v>
      </c>
      <c r="D30" s="641"/>
      <c r="E30" s="670"/>
      <c r="F30" s="670"/>
      <c r="G30" s="671"/>
      <c r="H30" s="671"/>
      <c r="I30" s="671"/>
      <c r="J30"/>
      <c r="K30"/>
      <c r="L30"/>
      <c r="M30" s="490"/>
      <c r="N30" s="490"/>
      <c r="O30" s="490"/>
      <c r="P30"/>
      <c r="Q30" s="490"/>
      <c r="R30" s="708"/>
      <c r="S30" s="708"/>
    </row>
    <row r="31" spans="1:19" x14ac:dyDescent="0.35">
      <c r="A31" s="651" t="str">
        <f>Ruumid!A62</f>
        <v>Muud üüriruumid (postproduction)</v>
      </c>
      <c r="B31" s="611">
        <f>Ruumid!C62</f>
        <v>1267.6000000000001</v>
      </c>
      <c r="C31" s="611">
        <f>Ruumid!D62</f>
        <v>1267.6000000000001</v>
      </c>
      <c r="D31" s="611" t="s">
        <v>495</v>
      </c>
      <c r="E31" s="611">
        <v>7</v>
      </c>
      <c r="F31" s="672">
        <v>0.75</v>
      </c>
      <c r="G31" s="626">
        <f>C31*E31*F31</f>
        <v>6654.9000000000005</v>
      </c>
      <c r="H31" s="626">
        <f>G31*12</f>
        <v>79858.8</v>
      </c>
      <c r="I31" s="627">
        <f>H31/$H$33</f>
        <v>0.19425629080209642</v>
      </c>
      <c r="J31"/>
      <c r="K31" t="s">
        <v>275</v>
      </c>
      <c r="L31"/>
      <c r="M31" s="490">
        <f>B31</f>
        <v>1267.6000000000001</v>
      </c>
      <c r="N31" s="717">
        <f>B31*F31</f>
        <v>950.7</v>
      </c>
      <c r="O31" s="490">
        <f>M31-N31</f>
        <v>316.90000000000009</v>
      </c>
      <c r="P31"/>
      <c r="Q31" s="490"/>
      <c r="R31" s="708"/>
      <c r="S31" s="708"/>
    </row>
    <row r="32" spans="1:19" x14ac:dyDescent="0.35">
      <c r="A32" s="611"/>
      <c r="B32" s="611"/>
      <c r="C32" s="611"/>
      <c r="D32" s="611"/>
      <c r="E32" s="611"/>
      <c r="F32" s="611"/>
      <c r="G32" s="626"/>
      <c r="H32" s="626"/>
      <c r="I32" s="626"/>
      <c r="J32"/>
      <c r="K32"/>
      <c r="L32"/>
      <c r="M32" s="490"/>
      <c r="N32" s="490"/>
      <c r="O32" s="490"/>
      <c r="P32"/>
      <c r="Q32" s="490"/>
      <c r="R32" s="708"/>
      <c r="S32" s="708"/>
    </row>
    <row r="33" spans="1:19" x14ac:dyDescent="0.35">
      <c r="A33" s="677" t="s">
        <v>486</v>
      </c>
      <c r="B33" s="611"/>
      <c r="C33" s="611"/>
      <c r="D33" s="611"/>
      <c r="E33" s="611"/>
      <c r="F33" s="611"/>
      <c r="G33" s="678">
        <f>SUM(G7:G32)</f>
        <v>34258.35</v>
      </c>
      <c r="H33" s="678">
        <f>SUM(H7:H32)</f>
        <v>411100.2</v>
      </c>
      <c r="I33" s="678"/>
      <c r="J33"/>
      <c r="K33"/>
      <c r="L33"/>
      <c r="M33" s="505">
        <f>SUM(M27:M31)</f>
        <v>7352.800000000002</v>
      </c>
      <c r="N33" s="505">
        <f>SUM(N27:N31)</f>
        <v>5514.6000000000013</v>
      </c>
      <c r="O33" s="505">
        <f>SUM(O27:O31)</f>
        <v>1838.2000000000005</v>
      </c>
      <c r="P33"/>
      <c r="Q33" s="490"/>
      <c r="R33" s="708"/>
      <c r="S33" s="708"/>
    </row>
    <row r="34" spans="1:19" x14ac:dyDescent="0.35">
      <c r="A34" s="614"/>
      <c r="B34" s="614"/>
      <c r="C34" s="614"/>
      <c r="D34" s="614"/>
      <c r="E34" s="614"/>
      <c r="F34" s="614"/>
      <c r="G34" s="614"/>
      <c r="H34" s="614"/>
      <c r="I34" s="614"/>
      <c r="J34"/>
      <c r="K34"/>
      <c r="L34"/>
      <c r="M34"/>
      <c r="N34" s="494">
        <f>N33/M33</f>
        <v>0.75</v>
      </c>
      <c r="O34" s="494">
        <f>O33/M33</f>
        <v>0.25</v>
      </c>
      <c r="P34"/>
      <c r="Q34"/>
    </row>
    <row r="35" spans="1:19" x14ac:dyDescent="0.35">
      <c r="A35" s="646" t="s">
        <v>413</v>
      </c>
      <c r="B35" s="614"/>
      <c r="C35" s="614"/>
      <c r="D35" s="614"/>
      <c r="E35" s="614"/>
      <c r="F35" s="614"/>
      <c r="G35" s="614"/>
      <c r="H35" s="614"/>
      <c r="I35" s="614"/>
      <c r="J35"/>
      <c r="K35"/>
      <c r="L35"/>
      <c r="M35"/>
      <c r="N35"/>
      <c r="O35"/>
      <c r="P35"/>
      <c r="Q35"/>
    </row>
    <row r="36" spans="1:19" x14ac:dyDescent="0.35">
      <c r="A36" s="614"/>
      <c r="B36" s="614"/>
      <c r="C36" s="614"/>
      <c r="D36" s="614"/>
      <c r="E36" s="614"/>
      <c r="F36" s="614"/>
      <c r="G36" s="614"/>
      <c r="H36" s="614"/>
      <c r="I36" s="614"/>
      <c r="J36"/>
      <c r="K36"/>
      <c r="L36"/>
      <c r="M36"/>
      <c r="N36"/>
      <c r="O36"/>
      <c r="P36"/>
      <c r="Q36"/>
    </row>
    <row r="37" spans="1:19" hidden="1" x14ac:dyDescent="0.35">
      <c r="A37" s="614"/>
      <c r="B37" s="614"/>
      <c r="C37" s="614"/>
      <c r="D37" s="614"/>
      <c r="E37" s="614"/>
      <c r="F37" s="614"/>
      <c r="G37" s="614"/>
      <c r="H37" s="614"/>
      <c r="I37" s="614"/>
      <c r="J37"/>
      <c r="K37"/>
      <c r="L37"/>
      <c r="M37"/>
      <c r="N37"/>
      <c r="O37"/>
      <c r="P37"/>
      <c r="Q37"/>
    </row>
    <row r="38" spans="1:19" ht="29" x14ac:dyDescent="0.35">
      <c r="A38" s="679"/>
      <c r="B38" s="679"/>
      <c r="C38" s="679"/>
      <c r="D38" s="679"/>
      <c r="E38" s="679"/>
      <c r="F38" s="679"/>
      <c r="G38" s="680" t="s">
        <v>497</v>
      </c>
      <c r="H38" s="680" t="s">
        <v>498</v>
      </c>
      <c r="I38" s="680" t="s">
        <v>295</v>
      </c>
      <c r="J38" s="503"/>
      <c r="K38"/>
      <c r="L38"/>
      <c r="M38"/>
      <c r="N38"/>
      <c r="O38"/>
      <c r="P38"/>
      <c r="Q38"/>
    </row>
    <row r="39" spans="1:19" x14ac:dyDescent="0.35">
      <c r="A39" s="611" t="s">
        <v>299</v>
      </c>
      <c r="B39" s="611"/>
      <c r="C39" s="611"/>
      <c r="D39" s="611"/>
      <c r="E39" s="611"/>
      <c r="F39" s="611"/>
      <c r="G39" s="626">
        <f>H39/12</f>
        <v>4061.6466466799993</v>
      </c>
      <c r="H39" s="626">
        <f>Kulud75!F5</f>
        <v>48739.759760159992</v>
      </c>
      <c r="I39" s="627">
        <f>H39/$H$47</f>
        <v>0.44037960462225406</v>
      </c>
      <c r="J39" s="504"/>
      <c r="K39"/>
      <c r="L39"/>
      <c r="M39"/>
      <c r="N39"/>
      <c r="O39"/>
      <c r="P39"/>
      <c r="Q39"/>
    </row>
    <row r="40" spans="1:19" x14ac:dyDescent="0.35">
      <c r="A40" s="611" t="s">
        <v>487</v>
      </c>
      <c r="B40" s="611"/>
      <c r="C40" s="611"/>
      <c r="D40" s="611"/>
      <c r="E40" s="611"/>
      <c r="F40" s="611"/>
      <c r="G40" s="626">
        <f t="shared" ref="G40:G45" si="5">H40/12</f>
        <v>1633.4743750000007</v>
      </c>
      <c r="H40" s="626">
        <f>Kulud75!F14</f>
        <v>19601.692500000008</v>
      </c>
      <c r="I40" s="627">
        <f t="shared" ref="I40:I45" si="6">H40/$H$47</f>
        <v>0.17710767626993881</v>
      </c>
      <c r="J40" s="504"/>
      <c r="K40"/>
      <c r="L40"/>
      <c r="M40"/>
      <c r="N40"/>
      <c r="O40"/>
      <c r="P40"/>
      <c r="Q40"/>
    </row>
    <row r="41" spans="1:19" x14ac:dyDescent="0.35">
      <c r="A41" s="611" t="s">
        <v>414</v>
      </c>
      <c r="B41" s="611"/>
      <c r="C41" s="611"/>
      <c r="D41" s="611"/>
      <c r="E41" s="611"/>
      <c r="F41" s="611"/>
      <c r="G41" s="626">
        <f t="shared" si="5"/>
        <v>588.31200382500015</v>
      </c>
      <c r="H41" s="626">
        <f>Kulud75!F20</f>
        <v>7059.7440459000018</v>
      </c>
      <c r="I41" s="627">
        <f t="shared" si="6"/>
        <v>6.3787086907412971E-2</v>
      </c>
      <c r="J41" s="504"/>
      <c r="K41"/>
      <c r="L41"/>
      <c r="M41"/>
      <c r="N41"/>
      <c r="O41"/>
      <c r="P41"/>
      <c r="Q41"/>
    </row>
    <row r="42" spans="1:19" x14ac:dyDescent="0.35">
      <c r="A42" s="611" t="s">
        <v>488</v>
      </c>
      <c r="B42" s="611"/>
      <c r="C42" s="611"/>
      <c r="D42" s="611"/>
      <c r="E42" s="611"/>
      <c r="F42" s="611"/>
      <c r="G42" s="626">
        <f t="shared" si="5"/>
        <v>562.5</v>
      </c>
      <c r="H42" s="626">
        <f>Kulud75!F43</f>
        <v>6750</v>
      </c>
      <c r="I42" s="627">
        <f t="shared" si="6"/>
        <v>6.0988448564943377E-2</v>
      </c>
      <c r="J42" s="504"/>
      <c r="K42"/>
      <c r="L42"/>
      <c r="M42"/>
      <c r="N42"/>
      <c r="O42"/>
      <c r="P42"/>
      <c r="Q42"/>
    </row>
    <row r="43" spans="1:19" x14ac:dyDescent="0.35">
      <c r="A43" s="611" t="s">
        <v>419</v>
      </c>
      <c r="B43" s="611"/>
      <c r="C43" s="611"/>
      <c r="D43" s="611"/>
      <c r="E43" s="611"/>
      <c r="F43" s="611"/>
      <c r="G43" s="626">
        <f t="shared" si="5"/>
        <v>1402.125</v>
      </c>
      <c r="H43" s="626">
        <f>Kulud75!F48</f>
        <v>16825.5</v>
      </c>
      <c r="I43" s="627">
        <f t="shared" si="6"/>
        <v>0.15202387278954888</v>
      </c>
      <c r="J43" s="504"/>
      <c r="K43"/>
      <c r="L43"/>
      <c r="M43"/>
      <c r="N43"/>
      <c r="O43"/>
      <c r="P43"/>
      <c r="Q43"/>
    </row>
    <row r="44" spans="1:19" x14ac:dyDescent="0.35">
      <c r="A44" s="611" t="s">
        <v>420</v>
      </c>
      <c r="B44" s="611"/>
      <c r="C44" s="611"/>
      <c r="D44" s="611"/>
      <c r="E44" s="611"/>
      <c r="F44" s="611"/>
      <c r="G44" s="626">
        <f t="shared" si="5"/>
        <v>750</v>
      </c>
      <c r="H44" s="626">
        <f>Kulud75!F54</f>
        <v>9000</v>
      </c>
      <c r="I44" s="627">
        <f t="shared" si="6"/>
        <v>8.1317931419924508E-2</v>
      </c>
      <c r="J44" s="504"/>
      <c r="K44"/>
      <c r="L44"/>
      <c r="M44"/>
      <c r="N44"/>
      <c r="O44"/>
      <c r="P44"/>
      <c r="Q44"/>
    </row>
    <row r="45" spans="1:19" x14ac:dyDescent="0.35">
      <c r="A45" s="626" t="s">
        <v>422</v>
      </c>
      <c r="B45" s="611"/>
      <c r="C45" s="611"/>
      <c r="D45" s="611"/>
      <c r="E45" s="611"/>
      <c r="F45" s="611"/>
      <c r="G45" s="626">
        <f t="shared" si="5"/>
        <v>225</v>
      </c>
      <c r="H45" s="626">
        <f>Kulud75!F56</f>
        <v>2700</v>
      </c>
      <c r="I45" s="627">
        <f t="shared" si="6"/>
        <v>2.4395379425977352E-2</v>
      </c>
      <c r="J45" s="504"/>
      <c r="K45"/>
      <c r="L45"/>
      <c r="M45"/>
      <c r="N45"/>
      <c r="O45"/>
      <c r="P45"/>
      <c r="Q45"/>
    </row>
    <row r="46" spans="1:19" x14ac:dyDescent="0.35">
      <c r="A46" s="611"/>
      <c r="B46" s="611"/>
      <c r="C46" s="611"/>
      <c r="D46" s="611"/>
      <c r="E46" s="611"/>
      <c r="F46" s="611"/>
      <c r="G46" s="626"/>
      <c r="H46" s="626"/>
      <c r="I46" s="627"/>
      <c r="J46" s="504"/>
      <c r="K46"/>
      <c r="L46"/>
      <c r="M46"/>
      <c r="N46"/>
      <c r="O46"/>
      <c r="P46"/>
      <c r="Q46"/>
    </row>
    <row r="47" spans="1:19" x14ac:dyDescent="0.35">
      <c r="A47" s="677" t="s">
        <v>489</v>
      </c>
      <c r="B47" s="611"/>
      <c r="C47" s="611"/>
      <c r="D47" s="611"/>
      <c r="E47" s="611"/>
      <c r="F47" s="611"/>
      <c r="G47" s="678">
        <f>SUM(G39:G46)</f>
        <v>9223.0580255050008</v>
      </c>
      <c r="H47" s="678">
        <f>SUM(H39:H46)</f>
        <v>110676.69630606001</v>
      </c>
      <c r="I47" s="681">
        <f>SUM(I39:I46)</f>
        <v>0.99999999999999989</v>
      </c>
      <c r="J47" s="506"/>
      <c r="K47"/>
      <c r="L47"/>
      <c r="M47"/>
      <c r="N47"/>
      <c r="O47"/>
      <c r="P47"/>
      <c r="Q47"/>
    </row>
    <row r="48" spans="1:19" hidden="1" x14ac:dyDescent="0.35">
      <c r="A48"/>
      <c r="B48"/>
      <c r="C48"/>
      <c r="D48"/>
      <c r="E48"/>
      <c r="F48"/>
      <c r="G48"/>
      <c r="H48"/>
      <c r="I48"/>
      <c r="J48"/>
      <c r="K48"/>
      <c r="L48"/>
      <c r="M48"/>
      <c r="N48"/>
      <c r="O48"/>
      <c r="P48"/>
      <c r="Q48"/>
    </row>
    <row r="49" spans="1:17" hidden="1" x14ac:dyDescent="0.35">
      <c r="A49" s="629" t="s">
        <v>71</v>
      </c>
      <c r="B49" s="507"/>
      <c r="C49" s="507"/>
      <c r="D49" s="507"/>
      <c r="E49" s="507"/>
      <c r="F49" s="507"/>
      <c r="G49" s="508">
        <f>F36+G47</f>
        <v>9223.0580255050008</v>
      </c>
      <c r="H49" s="508">
        <f>G36+H47</f>
        <v>110676.69630606001</v>
      </c>
      <c r="I49" s="509"/>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BD4C-FA91-4903-9D8C-45293456D15B}">
  <sheetPr>
    <tabColor rgb="FFFF0000"/>
  </sheetPr>
  <dimension ref="A1:R77"/>
  <sheetViews>
    <sheetView workbookViewId="0">
      <pane xSplit="4" ySplit="2" topLeftCell="E29" activePane="bottomRight" state="frozen"/>
      <selection pane="topRight" activeCell="E1" sqref="E1"/>
      <selection pane="bottomLeft" activeCell="A3" sqref="A3"/>
      <selection pane="bottomRight" activeCell="A69" sqref="A69"/>
    </sheetView>
  </sheetViews>
  <sheetFormatPr defaultColWidth="9.1796875" defaultRowHeight="14.5" outlineLevelRow="1" outlineLevelCol="1" x14ac:dyDescent="0.35"/>
  <cols>
    <col min="1" max="1" width="32.81640625" style="365" customWidth="1"/>
    <col min="2" max="2" width="15.1796875" style="365" customWidth="1" outlineLevel="1"/>
    <col min="3" max="3" width="9.26953125" style="365" customWidth="1" outlineLevel="1"/>
    <col min="4" max="5" width="14.1796875" style="365" customWidth="1"/>
    <col min="6" max="6" width="14.81640625" style="365" hidden="1" customWidth="1" outlineLevel="1"/>
    <col min="7" max="7" width="17.453125" style="365" hidden="1" customWidth="1" outlineLevel="1"/>
    <col min="8" max="8" width="16.1796875" style="365" hidden="1" customWidth="1" outlineLevel="1"/>
    <col min="9" max="9" width="11.81640625" style="365" hidden="1" customWidth="1" outlineLevel="1"/>
    <col min="10" max="10" width="18.26953125" style="365" customWidth="1" collapsed="1"/>
    <col min="11" max="11" width="17" style="365" customWidth="1"/>
    <col min="12" max="16384" width="9.1796875" style="365"/>
  </cols>
  <sheetData>
    <row r="1" spans="1:18" x14ac:dyDescent="0.35">
      <c r="A1" s="682" t="s">
        <v>14</v>
      </c>
      <c r="B1" s="614"/>
      <c r="C1" s="614"/>
      <c r="D1" s="666"/>
      <c r="E1" s="666"/>
      <c r="F1" s="502"/>
      <c r="G1" s="496">
        <f>'5. Abikõlblik kulu'!D13</f>
        <v>0</v>
      </c>
      <c r="H1"/>
      <c r="I1"/>
      <c r="J1"/>
      <c r="K1"/>
      <c r="L1"/>
      <c r="M1"/>
      <c r="N1"/>
      <c r="O1"/>
      <c r="P1"/>
      <c r="Q1"/>
      <c r="R1"/>
    </row>
    <row r="2" spans="1:18" ht="43.5" x14ac:dyDescent="0.35">
      <c r="A2" s="611"/>
      <c r="B2" s="683"/>
      <c r="C2" s="617"/>
      <c r="D2" s="659" t="s">
        <v>499</v>
      </c>
      <c r="E2" s="659" t="s">
        <v>500</v>
      </c>
      <c r="F2" s="489" t="s">
        <v>297</v>
      </c>
      <c r="G2" s="489" t="s">
        <v>298</v>
      </c>
      <c r="H2"/>
      <c r="I2"/>
      <c r="J2"/>
      <c r="K2"/>
      <c r="L2"/>
      <c r="M2"/>
      <c r="N2"/>
      <c r="O2"/>
      <c r="P2"/>
      <c r="Q2"/>
      <c r="R2"/>
    </row>
    <row r="3" spans="1:18" x14ac:dyDescent="0.35">
      <c r="A3" s="684" t="s">
        <v>367</v>
      </c>
      <c r="B3" s="651"/>
      <c r="C3" s="685"/>
      <c r="D3" s="685"/>
      <c r="E3" s="685"/>
      <c r="F3" s="490"/>
      <c r="G3" s="490"/>
      <c r="H3"/>
      <c r="I3"/>
      <c r="J3"/>
      <c r="K3"/>
      <c r="L3"/>
      <c r="M3"/>
      <c r="N3"/>
      <c r="O3"/>
      <c r="P3"/>
      <c r="Q3"/>
      <c r="R3"/>
    </row>
    <row r="4" spans="1:18" x14ac:dyDescent="0.35">
      <c r="A4" s="651" t="s">
        <v>427</v>
      </c>
      <c r="B4" s="651"/>
      <c r="C4" s="685"/>
      <c r="D4" s="685">
        <f>E4/12</f>
        <v>7833.4192423399991</v>
      </c>
      <c r="E4" s="685">
        <f>E20+E14+E5</f>
        <v>94001.030908079993</v>
      </c>
      <c r="F4" s="510">
        <f t="shared" ref="F4:G4" si="0">F20+F14+F5</f>
        <v>75401.19630606001</v>
      </c>
      <c r="G4" s="510">
        <f t="shared" si="0"/>
        <v>18599.834602019997</v>
      </c>
      <c r="H4" s="511">
        <f t="shared" ref="H4:H11" si="1">G4/$G$62</f>
        <v>7.8529752535364108E-2</v>
      </c>
      <c r="I4"/>
      <c r="J4"/>
      <c r="K4"/>
      <c r="L4"/>
      <c r="M4"/>
      <c r="N4"/>
      <c r="O4"/>
      <c r="P4"/>
      <c r="Q4"/>
      <c r="R4"/>
    </row>
    <row r="5" spans="1:18" x14ac:dyDescent="0.35">
      <c r="A5" s="650" t="s">
        <v>299</v>
      </c>
      <c r="B5" s="686" t="s">
        <v>501</v>
      </c>
      <c r="C5" s="685">
        <f>C6+C9</f>
        <v>1035.144096</v>
      </c>
      <c r="D5" s="687"/>
      <c r="E5" s="685">
        <f>E6+E9</f>
        <v>64986.346346879989</v>
      </c>
      <c r="F5" s="512">
        <f>F6+F9</f>
        <v>48739.759760159992</v>
      </c>
      <c r="G5" s="512">
        <f>E5-F5</f>
        <v>16246.586586719997</v>
      </c>
      <c r="H5" s="511">
        <f t="shared" si="1"/>
        <v>6.859418115798338E-2</v>
      </c>
      <c r="I5"/>
      <c r="J5"/>
      <c r="K5"/>
      <c r="L5"/>
      <c r="M5"/>
      <c r="N5"/>
      <c r="O5"/>
      <c r="P5"/>
      <c r="Q5"/>
      <c r="R5"/>
    </row>
    <row r="6" spans="1:18" hidden="1" outlineLevel="1" x14ac:dyDescent="0.35">
      <c r="A6" s="688" t="s">
        <v>449</v>
      </c>
      <c r="B6" s="686" t="s">
        <v>501</v>
      </c>
      <c r="C6" s="689">
        <f>SUM(C7:C8)</f>
        <v>1035.144096</v>
      </c>
      <c r="D6" s="687"/>
      <c r="E6" s="689">
        <f>SUM(E7:E8)</f>
        <v>64986.346346879989</v>
      </c>
      <c r="F6" s="513">
        <f>SUM(F7:F8)</f>
        <v>48739.759760159992</v>
      </c>
      <c r="G6" s="513">
        <f>E6-F6</f>
        <v>16246.586586719997</v>
      </c>
      <c r="H6" s="511">
        <f t="shared" si="1"/>
        <v>6.859418115798338E-2</v>
      </c>
      <c r="I6"/>
      <c r="J6"/>
      <c r="K6"/>
      <c r="L6"/>
      <c r="M6"/>
      <c r="N6"/>
      <c r="O6"/>
      <c r="P6"/>
      <c r="Q6"/>
      <c r="R6"/>
    </row>
    <row r="7" spans="1:18" hidden="1" outlineLevel="1" x14ac:dyDescent="0.35">
      <c r="A7" s="690" t="s">
        <v>502</v>
      </c>
      <c r="B7" s="686" t="s">
        <v>501</v>
      </c>
      <c r="C7" s="689">
        <f>Eeldused75!C13*(Eeldused75!C34*Ruumid!B64)/1000</f>
        <v>776.35807199999988</v>
      </c>
      <c r="D7" s="691"/>
      <c r="E7" s="689">
        <f>C7*Eeldused75!$C$4</f>
        <v>48739.759760159992</v>
      </c>
      <c r="F7" s="513">
        <f>E7</f>
        <v>48739.759760159992</v>
      </c>
      <c r="G7" s="513">
        <f>E7-F7</f>
        <v>0</v>
      </c>
      <c r="H7" s="511">
        <f t="shared" si="1"/>
        <v>0</v>
      </c>
      <c r="I7"/>
      <c r="J7"/>
      <c r="K7"/>
      <c r="L7"/>
      <c r="M7"/>
      <c r="N7"/>
      <c r="O7"/>
      <c r="P7"/>
      <c r="Q7"/>
      <c r="R7"/>
    </row>
    <row r="8" spans="1:18" hidden="1" outlineLevel="1" x14ac:dyDescent="0.35">
      <c r="A8" s="692" t="s">
        <v>503</v>
      </c>
      <c r="B8" s="686" t="s">
        <v>501</v>
      </c>
      <c r="C8" s="689">
        <f>Eeldused75!D13*(Eeldused75!D34*Ruumid!B64)/1000</f>
        <v>258.786024</v>
      </c>
      <c r="D8" s="691"/>
      <c r="E8" s="689">
        <f>C8*Eeldused75!$C$4</f>
        <v>16246.586586720001</v>
      </c>
      <c r="F8" s="513"/>
      <c r="G8" s="513">
        <f>E8-F8</f>
        <v>16246.586586720001</v>
      </c>
      <c r="H8" s="511">
        <f t="shared" si="1"/>
        <v>6.8594181157983394E-2</v>
      </c>
      <c r="I8"/>
      <c r="J8"/>
      <c r="K8"/>
      <c r="L8"/>
      <c r="M8"/>
      <c r="N8"/>
      <c r="O8"/>
      <c r="P8"/>
      <c r="Q8"/>
      <c r="R8"/>
    </row>
    <row r="9" spans="1:18" hidden="1" outlineLevel="1" x14ac:dyDescent="0.35">
      <c r="A9" s="688" t="s">
        <v>292</v>
      </c>
      <c r="B9" s="686" t="s">
        <v>501</v>
      </c>
      <c r="C9" s="689">
        <f>SUM(C10:C13)</f>
        <v>0</v>
      </c>
      <c r="D9" s="691"/>
      <c r="E9" s="689">
        <f>SUM(E10:E13)</f>
        <v>0</v>
      </c>
      <c r="F9" s="513">
        <f>SUM(F10:F13)</f>
        <v>0</v>
      </c>
      <c r="G9" s="513">
        <f>SUM(G10:G13)</f>
        <v>0</v>
      </c>
      <c r="H9" s="511">
        <f t="shared" si="1"/>
        <v>0</v>
      </c>
      <c r="I9"/>
      <c r="J9"/>
      <c r="K9"/>
      <c r="L9"/>
      <c r="M9"/>
      <c r="N9"/>
      <c r="O9"/>
      <c r="P9"/>
      <c r="Q9"/>
      <c r="R9"/>
    </row>
    <row r="10" spans="1:18" hidden="1" outlineLevel="1" x14ac:dyDescent="0.35">
      <c r="A10" s="690" t="s">
        <v>502</v>
      </c>
      <c r="B10" s="686" t="s">
        <v>501</v>
      </c>
      <c r="C10" s="689">
        <f>Eeldused75!C14*(Eeldused75!C36*Ruumid!B36)</f>
        <v>0</v>
      </c>
      <c r="D10" s="691"/>
      <c r="E10" s="689">
        <f>C10*Eeldused75!$C$4</f>
        <v>0</v>
      </c>
      <c r="F10" s="513">
        <f>E10</f>
        <v>0</v>
      </c>
      <c r="G10" s="513">
        <f>E10-F10</f>
        <v>0</v>
      </c>
      <c r="H10" s="511">
        <f t="shared" si="1"/>
        <v>0</v>
      </c>
      <c r="I10"/>
      <c r="J10"/>
      <c r="K10"/>
      <c r="L10"/>
      <c r="M10"/>
      <c r="N10"/>
      <c r="O10"/>
      <c r="P10"/>
      <c r="Q10"/>
      <c r="R10"/>
    </row>
    <row r="11" spans="1:18" ht="17.25" hidden="1" customHeight="1" outlineLevel="1" x14ac:dyDescent="0.35">
      <c r="A11" s="692" t="s">
        <v>503</v>
      </c>
      <c r="B11" s="686" t="s">
        <v>501</v>
      </c>
      <c r="C11" s="689">
        <f>Eeldused75!D14*(Eeldused75!D36*Ruumid!B36)</f>
        <v>0</v>
      </c>
      <c r="D11" s="691"/>
      <c r="E11" s="689">
        <f>C11*Eeldused75!$C$4</f>
        <v>0</v>
      </c>
      <c r="F11" s="513"/>
      <c r="G11" s="513">
        <f>E11</f>
        <v>0</v>
      </c>
      <c r="H11" s="511">
        <f t="shared" si="1"/>
        <v>0</v>
      </c>
      <c r="I11"/>
      <c r="J11"/>
      <c r="K11"/>
      <c r="L11"/>
      <c r="M11"/>
      <c r="N11"/>
      <c r="O11"/>
      <c r="P11"/>
      <c r="Q11"/>
      <c r="R11"/>
    </row>
    <row r="12" spans="1:18" ht="14.25" hidden="1" customHeight="1" outlineLevel="1" x14ac:dyDescent="0.35">
      <c r="A12" s="690"/>
      <c r="B12" s="686"/>
      <c r="C12" s="689"/>
      <c r="D12" s="691"/>
      <c r="E12" s="689"/>
      <c r="F12" s="514"/>
      <c r="G12" s="515"/>
      <c r="H12" s="511"/>
      <c r="I12"/>
      <c r="J12"/>
      <c r="K12"/>
      <c r="L12"/>
      <c r="M12"/>
      <c r="N12"/>
      <c r="O12"/>
      <c r="P12"/>
      <c r="Q12"/>
      <c r="R12"/>
    </row>
    <row r="13" spans="1:18" hidden="1" outlineLevel="1" x14ac:dyDescent="0.35">
      <c r="A13" s="690"/>
      <c r="B13" s="686"/>
      <c r="C13" s="689"/>
      <c r="D13" s="691"/>
      <c r="E13" s="689"/>
      <c r="F13" s="514"/>
      <c r="G13" s="515"/>
      <c r="H13" s="511"/>
      <c r="I13"/>
      <c r="J13"/>
      <c r="K13"/>
      <c r="L13"/>
      <c r="M13"/>
      <c r="N13"/>
      <c r="O13"/>
      <c r="P13"/>
      <c r="Q13"/>
      <c r="R13"/>
    </row>
    <row r="14" spans="1:18" collapsed="1" x14ac:dyDescent="0.35">
      <c r="A14" s="650" t="s">
        <v>300</v>
      </c>
      <c r="B14" s="686" t="s">
        <v>504</v>
      </c>
      <c r="C14" s="685">
        <f>C15+C17</f>
        <v>131115.00000000003</v>
      </c>
      <c r="D14" s="687"/>
      <c r="E14" s="685">
        <f>E15+E17</f>
        <v>19601.692500000008</v>
      </c>
      <c r="F14" s="512">
        <f>F15+F17</f>
        <v>19601.692500000008</v>
      </c>
      <c r="G14" s="512">
        <f>G15+G17</f>
        <v>0</v>
      </c>
      <c r="H14" s="516">
        <f t="shared" ref="H14:H39" si="2">G14/$G$62</f>
        <v>0</v>
      </c>
      <c r="I14"/>
      <c r="J14"/>
      <c r="K14"/>
      <c r="L14"/>
      <c r="M14"/>
      <c r="N14"/>
      <c r="O14"/>
      <c r="P14"/>
      <c r="Q14"/>
      <c r="R14"/>
    </row>
    <row r="15" spans="1:18" hidden="1" outlineLevel="1" x14ac:dyDescent="0.35">
      <c r="A15" s="688" t="str">
        <f>A6</f>
        <v>Stuudio</v>
      </c>
      <c r="B15" s="686" t="s">
        <v>505</v>
      </c>
      <c r="C15" s="689">
        <f>C16</f>
        <v>131115.00000000003</v>
      </c>
      <c r="D15" s="691"/>
      <c r="E15" s="689">
        <f>E16</f>
        <v>19601.692500000008</v>
      </c>
      <c r="F15" s="513">
        <f>F16</f>
        <v>19601.692500000008</v>
      </c>
      <c r="G15" s="513">
        <f>G16</f>
        <v>0</v>
      </c>
      <c r="H15" s="516">
        <f t="shared" si="2"/>
        <v>0</v>
      </c>
      <c r="I15"/>
      <c r="J15"/>
      <c r="K15"/>
      <c r="L15"/>
      <c r="M15"/>
      <c r="N15"/>
      <c r="O15"/>
      <c r="P15"/>
      <c r="Q15"/>
      <c r="R15"/>
    </row>
    <row r="16" spans="1:18" hidden="1" outlineLevel="1" x14ac:dyDescent="0.35">
      <c r="A16" s="690" t="s">
        <v>502</v>
      </c>
      <c r="B16" s="686" t="s">
        <v>505</v>
      </c>
      <c r="C16" s="689">
        <f>Eeldused75!C16*Eeldused75!H42*(Eeldused75!C25*Eeldused75!C34)/1000</f>
        <v>131115.00000000003</v>
      </c>
      <c r="D16" s="691"/>
      <c r="E16" s="689">
        <f>C16*Eeldused75!C5</f>
        <v>19601.692500000008</v>
      </c>
      <c r="F16" s="513">
        <f>E16</f>
        <v>19601.692500000008</v>
      </c>
      <c r="G16" s="513"/>
      <c r="H16" s="516">
        <f t="shared" si="2"/>
        <v>0</v>
      </c>
      <c r="I16"/>
      <c r="J16"/>
      <c r="K16"/>
      <c r="L16"/>
      <c r="M16"/>
      <c r="N16"/>
      <c r="O16"/>
      <c r="P16"/>
      <c r="Q16"/>
      <c r="R16"/>
    </row>
    <row r="17" spans="1:18" hidden="1" outlineLevel="1" x14ac:dyDescent="0.35">
      <c r="A17" s="688" t="str">
        <f>A9</f>
        <v>Inkubaator</v>
      </c>
      <c r="B17" s="686" t="s">
        <v>505</v>
      </c>
      <c r="C17" s="689">
        <f>SUM(C18:C19)</f>
        <v>0</v>
      </c>
      <c r="D17" s="691"/>
      <c r="E17" s="689">
        <f>SUM(E18:E19)</f>
        <v>0</v>
      </c>
      <c r="F17" s="513">
        <f>SUM(F18:F19)</f>
        <v>0</v>
      </c>
      <c r="G17" s="513">
        <f>SUM(G18:G19)</f>
        <v>0</v>
      </c>
      <c r="H17" s="516">
        <f t="shared" si="2"/>
        <v>0</v>
      </c>
      <c r="I17"/>
      <c r="J17"/>
      <c r="K17"/>
      <c r="L17"/>
      <c r="M17"/>
      <c r="N17"/>
      <c r="O17"/>
      <c r="P17"/>
      <c r="Q17"/>
      <c r="R17"/>
    </row>
    <row r="18" spans="1:18" hidden="1" outlineLevel="1" x14ac:dyDescent="0.35">
      <c r="A18" s="690" t="s">
        <v>502</v>
      </c>
      <c r="B18" s="686" t="s">
        <v>505</v>
      </c>
      <c r="C18" s="689">
        <f>Eeldused75!C17*Eeldused75!H43*(Eeldused75!C27*Eeldused75!C36)/1000</f>
        <v>0</v>
      </c>
      <c r="D18" s="691"/>
      <c r="E18" s="689">
        <f>C18*Eeldused75!$C$5</f>
        <v>0</v>
      </c>
      <c r="F18" s="513">
        <f>E18</f>
        <v>0</v>
      </c>
      <c r="G18" s="513"/>
      <c r="H18" s="516">
        <f t="shared" si="2"/>
        <v>0</v>
      </c>
      <c r="I18"/>
      <c r="J18"/>
      <c r="K18"/>
      <c r="L18"/>
      <c r="M18"/>
      <c r="N18"/>
      <c r="O18"/>
      <c r="P18"/>
      <c r="Q18"/>
      <c r="R18"/>
    </row>
    <row r="19" spans="1:18" hidden="1" outlineLevel="1" x14ac:dyDescent="0.35">
      <c r="A19" s="692" t="s">
        <v>506</v>
      </c>
      <c r="B19" s="686" t="s">
        <v>505</v>
      </c>
      <c r="C19" s="689">
        <f>Eeldused75!C17*Eeldused75!H43*(Eeldused75!C27*Eeldused75!D36-Eeldused75!E27)/1000</f>
        <v>0</v>
      </c>
      <c r="D19" s="691"/>
      <c r="E19" s="689">
        <f>C19*Eeldused75!C5</f>
        <v>0</v>
      </c>
      <c r="F19" s="513"/>
      <c r="G19" s="513">
        <f>E19-F19</f>
        <v>0</v>
      </c>
      <c r="H19" s="516">
        <f t="shared" si="2"/>
        <v>0</v>
      </c>
      <c r="I19"/>
      <c r="J19"/>
      <c r="K19"/>
      <c r="L19"/>
      <c r="M19"/>
      <c r="N19"/>
      <c r="O19"/>
      <c r="P19"/>
      <c r="Q19"/>
      <c r="R19"/>
    </row>
    <row r="20" spans="1:18" collapsed="1" x14ac:dyDescent="0.35">
      <c r="A20" s="650" t="s">
        <v>414</v>
      </c>
      <c r="B20" s="651" t="s">
        <v>406</v>
      </c>
      <c r="C20" s="685">
        <f>SUM(C21:C22)</f>
        <v>3474.1980000000012</v>
      </c>
      <c r="D20" s="685"/>
      <c r="E20" s="685">
        <f>C20*Eeldused75!C8+C21*Eeldused75!C6+C22*Eeldused75!C20</f>
        <v>9412.9920612000024</v>
      </c>
      <c r="F20" s="498">
        <f>E20*Eeldused75!C38</f>
        <v>7059.7440459000018</v>
      </c>
      <c r="G20" s="499">
        <f>E20*Eeldused75!D38</f>
        <v>2353.2480153000006</v>
      </c>
      <c r="H20" s="516">
        <f t="shared" si="2"/>
        <v>9.9355713773807419E-3</v>
      </c>
      <c r="I20"/>
      <c r="J20"/>
      <c r="K20"/>
      <c r="L20"/>
      <c r="M20"/>
      <c r="N20"/>
      <c r="O20"/>
      <c r="P20"/>
      <c r="Q20"/>
      <c r="R20"/>
    </row>
    <row r="21" spans="1:18" hidden="1" outlineLevel="1" x14ac:dyDescent="0.35">
      <c r="A21" s="690" t="s">
        <v>415</v>
      </c>
      <c r="B21" s="651" t="s">
        <v>406</v>
      </c>
      <c r="C21" s="685">
        <f>Eeldused75!C19*Eeldused75!C49*12</f>
        <v>2084.5188000000007</v>
      </c>
      <c r="D21" s="685"/>
      <c r="E21" s="685"/>
      <c r="F21" s="497"/>
      <c r="G21" s="497"/>
      <c r="H21" s="516">
        <f t="shared" si="2"/>
        <v>0</v>
      </c>
      <c r="I21"/>
      <c r="J21"/>
      <c r="K21"/>
      <c r="L21"/>
      <c r="M21"/>
      <c r="N21"/>
      <c r="O21"/>
      <c r="P21"/>
      <c r="Q21"/>
      <c r="R21"/>
    </row>
    <row r="22" spans="1:18" hidden="1" outlineLevel="1" x14ac:dyDescent="0.35">
      <c r="A22" s="690" t="s">
        <v>416</v>
      </c>
      <c r="B22" s="651" t="s">
        <v>406</v>
      </c>
      <c r="C22" s="685">
        <f>Eeldused75!C20*Eeldused75!C49*12</f>
        <v>1389.6792000000005</v>
      </c>
      <c r="D22" s="685"/>
      <c r="E22" s="685"/>
      <c r="F22" s="497"/>
      <c r="G22" s="497"/>
      <c r="H22" s="516">
        <f t="shared" si="2"/>
        <v>0</v>
      </c>
      <c r="I22"/>
      <c r="J22"/>
      <c r="K22"/>
      <c r="L22"/>
      <c r="M22"/>
      <c r="N22"/>
      <c r="O22"/>
      <c r="P22"/>
      <c r="Q22"/>
      <c r="R22"/>
    </row>
    <row r="23" spans="1:18" hidden="1" collapsed="1" x14ac:dyDescent="0.35">
      <c r="A23" s="650"/>
      <c r="B23" s="651"/>
      <c r="C23" s="685"/>
      <c r="D23" s="611"/>
      <c r="E23" s="685"/>
      <c r="F23" s="514"/>
      <c r="G23" s="515"/>
      <c r="H23" s="511">
        <f t="shared" si="2"/>
        <v>0</v>
      </c>
      <c r="I23"/>
      <c r="J23"/>
      <c r="K23"/>
      <c r="L23"/>
      <c r="M23"/>
      <c r="N23"/>
      <c r="O23"/>
      <c r="P23"/>
      <c r="Q23"/>
      <c r="R23"/>
    </row>
    <row r="24" spans="1:18" hidden="1" x14ac:dyDescent="0.35">
      <c r="A24" s="618"/>
      <c r="B24" s="686"/>
      <c r="C24" s="685"/>
      <c r="D24" s="611"/>
      <c r="E24" s="685"/>
      <c r="F24" s="517"/>
      <c r="G24" s="515"/>
      <c r="H24" s="511">
        <f t="shared" si="2"/>
        <v>0</v>
      </c>
      <c r="I24"/>
      <c r="J24"/>
      <c r="K24"/>
      <c r="L24"/>
      <c r="M24"/>
      <c r="N24"/>
      <c r="O24"/>
      <c r="P24"/>
      <c r="Q24"/>
      <c r="R24"/>
    </row>
    <row r="25" spans="1:18" ht="18" customHeight="1" x14ac:dyDescent="0.35">
      <c r="A25" s="651" t="s">
        <v>426</v>
      </c>
      <c r="B25" s="650"/>
      <c r="C25" s="687"/>
      <c r="D25" s="685">
        <f>SUM(D26:D28)</f>
        <v>7417.8720000000003</v>
      </c>
      <c r="E25" s="685">
        <f>SUM(E26:E28)</f>
        <v>89014.464000000007</v>
      </c>
      <c r="F25" s="517">
        <f>SUM(F26:F28)</f>
        <v>0</v>
      </c>
      <c r="G25" s="500">
        <f>SUM(G26:G28)</f>
        <v>89014.464000000007</v>
      </c>
      <c r="H25" s="511">
        <f t="shared" si="2"/>
        <v>0.3758250532630496</v>
      </c>
      <c r="I25"/>
      <c r="J25" t="s">
        <v>529</v>
      </c>
      <c r="K25"/>
      <c r="L25"/>
      <c r="M25"/>
      <c r="N25"/>
      <c r="O25"/>
      <c r="P25"/>
      <c r="Q25"/>
      <c r="R25"/>
    </row>
    <row r="26" spans="1:18" ht="30.75" customHeight="1" outlineLevel="1" x14ac:dyDescent="0.35">
      <c r="A26" s="650" t="s">
        <v>544</v>
      </c>
      <c r="B26" s="693" t="s">
        <v>301</v>
      </c>
      <c r="C26" s="685">
        <v>2772</v>
      </c>
      <c r="D26" s="685">
        <f>C26*J26*1.338</f>
        <v>3708.9360000000001</v>
      </c>
      <c r="E26" s="685">
        <f>D26*12</f>
        <v>44507.232000000004</v>
      </c>
      <c r="F26" s="518"/>
      <c r="G26" s="500">
        <f>E26</f>
        <v>44507.232000000004</v>
      </c>
      <c r="H26" s="511">
        <f t="shared" si="2"/>
        <v>0.1879125266315248</v>
      </c>
      <c r="I26"/>
      <c r="J26" s="713">
        <v>1</v>
      </c>
      <c r="K26"/>
      <c r="L26"/>
      <c r="M26"/>
      <c r="N26"/>
      <c r="O26"/>
      <c r="P26"/>
      <c r="Q26"/>
      <c r="R26"/>
    </row>
    <row r="27" spans="1:18" ht="30" customHeight="1" outlineLevel="1" x14ac:dyDescent="0.35">
      <c r="A27" s="650" t="s">
        <v>545</v>
      </c>
      <c r="B27" s="693" t="s">
        <v>301</v>
      </c>
      <c r="C27" s="685">
        <v>2772</v>
      </c>
      <c r="D27" s="685">
        <f t="shared" ref="D27:D28" si="3">C27*J27*1.338</f>
        <v>3708.9360000000001</v>
      </c>
      <c r="E27" s="685">
        <f>D27*12</f>
        <v>44507.232000000004</v>
      </c>
      <c r="F27" s="518"/>
      <c r="G27" s="500">
        <f>E27</f>
        <v>44507.232000000004</v>
      </c>
      <c r="H27" s="511">
        <f t="shared" si="2"/>
        <v>0.1879125266315248</v>
      </c>
      <c r="I27"/>
      <c r="J27" s="713">
        <v>1</v>
      </c>
      <c r="K27"/>
      <c r="L27"/>
      <c r="M27"/>
      <c r="N27"/>
      <c r="O27"/>
      <c r="P27"/>
      <c r="Q27"/>
      <c r="R27"/>
    </row>
    <row r="28" spans="1:18" ht="13.5" customHeight="1" x14ac:dyDescent="0.35">
      <c r="A28" s="650"/>
      <c r="B28" s="611"/>
      <c r="C28" s="685"/>
      <c r="D28" s="685">
        <f t="shared" si="3"/>
        <v>0</v>
      </c>
      <c r="E28" s="685"/>
      <c r="F28" s="518"/>
      <c r="G28" s="500"/>
      <c r="H28" s="511">
        <f t="shared" si="2"/>
        <v>0</v>
      </c>
      <c r="I28"/>
      <c r="J28" s="713"/>
      <c r="K28"/>
      <c r="L28"/>
      <c r="M28"/>
      <c r="N28"/>
      <c r="O28"/>
      <c r="P28"/>
      <c r="Q28"/>
      <c r="R28"/>
    </row>
    <row r="29" spans="1:18" x14ac:dyDescent="0.35">
      <c r="A29" s="651" t="s">
        <v>424</v>
      </c>
      <c r="B29" s="694"/>
      <c r="C29" s="695"/>
      <c r="D29" s="685">
        <f>E29/12</f>
        <v>2250</v>
      </c>
      <c r="E29" s="695">
        <f>SUM(E30:E30)</f>
        <v>27000</v>
      </c>
      <c r="F29" s="517">
        <f>SUM(F30:F30)</f>
        <v>0</v>
      </c>
      <c r="G29" s="500">
        <f>SUM(G30:G30)</f>
        <v>27000</v>
      </c>
      <c r="H29" s="511">
        <f t="shared" si="2"/>
        <v>0.1139958157598111</v>
      </c>
      <c r="I29"/>
      <c r="J29"/>
      <c r="K29"/>
      <c r="L29"/>
      <c r="M29"/>
      <c r="N29"/>
      <c r="O29"/>
      <c r="P29"/>
      <c r="Q29"/>
      <c r="R29"/>
    </row>
    <row r="30" spans="1:18" hidden="1" outlineLevel="1" x14ac:dyDescent="0.35">
      <c r="A30" s="650" t="s">
        <v>425</v>
      </c>
      <c r="B30" s="651"/>
      <c r="C30" s="685"/>
      <c r="D30" s="709">
        <f>2700-450</f>
        <v>2250</v>
      </c>
      <c r="E30" s="685">
        <f>D30*12</f>
        <v>27000</v>
      </c>
      <c r="F30" s="518"/>
      <c r="G30" s="517">
        <f>E30</f>
        <v>27000</v>
      </c>
      <c r="H30" s="511">
        <f t="shared" si="2"/>
        <v>0.1139958157598111</v>
      </c>
      <c r="I30"/>
      <c r="J30"/>
      <c r="K30"/>
      <c r="L30"/>
      <c r="M30"/>
      <c r="N30"/>
      <c r="O30"/>
      <c r="P30"/>
      <c r="Q30"/>
      <c r="R30"/>
    </row>
    <row r="31" spans="1:18" collapsed="1" x14ac:dyDescent="0.35">
      <c r="A31" s="651" t="s">
        <v>417</v>
      </c>
      <c r="B31" s="651"/>
      <c r="C31" s="685"/>
      <c r="D31" s="685">
        <f>E31/12</f>
        <v>1750</v>
      </c>
      <c r="E31" s="685">
        <f>E32+E33</f>
        <v>21000</v>
      </c>
      <c r="F31" s="517">
        <f>SUM(F32:F33)</f>
        <v>0</v>
      </c>
      <c r="G31" s="517">
        <f>SUM(G32:G33)</f>
        <v>21000</v>
      </c>
      <c r="H31" s="511">
        <f t="shared" si="2"/>
        <v>8.8663412257630858E-2</v>
      </c>
      <c r="I31"/>
      <c r="J31"/>
      <c r="K31"/>
      <c r="L31"/>
      <c r="M31"/>
      <c r="N31"/>
      <c r="O31"/>
      <c r="P31"/>
      <c r="Q31"/>
      <c r="R31"/>
    </row>
    <row r="32" spans="1:18" ht="22" hidden="1" outlineLevel="1" x14ac:dyDescent="0.35">
      <c r="A32" s="650" t="s">
        <v>302</v>
      </c>
      <c r="B32" s="693" t="s">
        <v>303</v>
      </c>
      <c r="C32" s="685"/>
      <c r="D32" s="709">
        <f>2000-500</f>
        <v>1500</v>
      </c>
      <c r="E32" s="685">
        <f>D32*12</f>
        <v>18000</v>
      </c>
      <c r="F32" s="518"/>
      <c r="G32" s="517">
        <f>E32</f>
        <v>18000</v>
      </c>
      <c r="H32" s="511">
        <f t="shared" si="2"/>
        <v>7.5997210506540736E-2</v>
      </c>
      <c r="I32"/>
      <c r="J32"/>
      <c r="K32"/>
      <c r="L32"/>
      <c r="M32"/>
      <c r="N32"/>
      <c r="O32"/>
      <c r="P32"/>
      <c r="Q32"/>
      <c r="R32"/>
    </row>
    <row r="33" spans="1:18" ht="29" hidden="1" outlineLevel="1" x14ac:dyDescent="0.35">
      <c r="A33" s="650" t="s">
        <v>304</v>
      </c>
      <c r="B33" s="651"/>
      <c r="C33" s="685"/>
      <c r="D33" s="709">
        <f>400-200+50</f>
        <v>250</v>
      </c>
      <c r="E33" s="685">
        <f>D33*12</f>
        <v>3000</v>
      </c>
      <c r="F33" s="518"/>
      <c r="G33" s="517">
        <f>E33</f>
        <v>3000</v>
      </c>
      <c r="H33" s="511">
        <f t="shared" si="2"/>
        <v>1.2666201751090123E-2</v>
      </c>
      <c r="I33"/>
      <c r="J33"/>
      <c r="K33"/>
      <c r="L33"/>
      <c r="M33"/>
      <c r="N33"/>
      <c r="O33"/>
      <c r="P33"/>
      <c r="Q33"/>
      <c r="R33"/>
    </row>
    <row r="34" spans="1:18" hidden="1" collapsed="1" x14ac:dyDescent="0.35">
      <c r="A34" s="650"/>
      <c r="B34" s="651"/>
      <c r="C34" s="685"/>
      <c r="D34" s="685"/>
      <c r="E34" s="685"/>
      <c r="F34" s="518"/>
      <c r="G34" s="517"/>
      <c r="H34" s="511">
        <f t="shared" si="2"/>
        <v>0</v>
      </c>
      <c r="I34"/>
      <c r="J34"/>
      <c r="K34"/>
      <c r="L34"/>
      <c r="M34"/>
      <c r="N34"/>
      <c r="O34"/>
      <c r="P34"/>
      <c r="Q34"/>
      <c r="R34"/>
    </row>
    <row r="35" spans="1:18" hidden="1" x14ac:dyDescent="0.35">
      <c r="A35" s="650"/>
      <c r="B35" s="651"/>
      <c r="C35" s="685"/>
      <c r="D35" s="685"/>
      <c r="E35" s="685"/>
      <c r="F35" s="518"/>
      <c r="G35" s="517"/>
      <c r="H35" s="511">
        <f t="shared" si="2"/>
        <v>0</v>
      </c>
      <c r="I35"/>
      <c r="J35"/>
      <c r="K35"/>
      <c r="L35"/>
      <c r="M35"/>
      <c r="N35"/>
      <c r="O35"/>
      <c r="P35"/>
      <c r="Q35"/>
      <c r="R35"/>
    </row>
    <row r="36" spans="1:18" x14ac:dyDescent="0.35">
      <c r="A36" s="651" t="s">
        <v>418</v>
      </c>
      <c r="B36" s="651"/>
      <c r="C36" s="685"/>
      <c r="D36" s="685">
        <f>E36/12</f>
        <v>4583.333333333333</v>
      </c>
      <c r="E36" s="685">
        <f>SUM(E37:E42)</f>
        <v>55000</v>
      </c>
      <c r="F36" s="518">
        <f t="shared" ref="F36:G36" si="4">SUM(F37:F42)</f>
        <v>0</v>
      </c>
      <c r="G36" s="517">
        <f t="shared" si="4"/>
        <v>55000</v>
      </c>
      <c r="H36" s="511">
        <f t="shared" si="2"/>
        <v>0.2322136987699856</v>
      </c>
      <c r="I36"/>
      <c r="J36"/>
      <c r="K36"/>
      <c r="L36"/>
      <c r="M36"/>
      <c r="N36"/>
      <c r="O36"/>
      <c r="P36"/>
      <c r="Q36"/>
      <c r="R36"/>
    </row>
    <row r="37" spans="1:18" ht="29" hidden="1" x14ac:dyDescent="0.35">
      <c r="A37" s="650" t="s">
        <v>305</v>
      </c>
      <c r="B37" s="651"/>
      <c r="C37" s="685"/>
      <c r="D37" s="685"/>
      <c r="E37" s="685">
        <v>55000</v>
      </c>
      <c r="F37" s="518"/>
      <c r="G37" s="517">
        <f>E37</f>
        <v>55000</v>
      </c>
      <c r="H37" s="511">
        <f t="shared" si="2"/>
        <v>0.2322136987699856</v>
      </c>
      <c r="I37"/>
      <c r="J37"/>
      <c r="K37"/>
      <c r="L37"/>
      <c r="M37"/>
      <c r="N37"/>
      <c r="O37"/>
      <c r="P37"/>
      <c r="Q37"/>
      <c r="R37"/>
    </row>
    <row r="38" spans="1:18" hidden="1" x14ac:dyDescent="0.35">
      <c r="A38" s="650"/>
      <c r="B38" s="651"/>
      <c r="C38" s="685"/>
      <c r="D38" s="685"/>
      <c r="E38" s="685"/>
      <c r="F38" s="518"/>
      <c r="G38" s="517"/>
      <c r="H38" s="511">
        <f t="shared" si="2"/>
        <v>0</v>
      </c>
      <c r="I38"/>
      <c r="J38"/>
      <c r="K38"/>
      <c r="L38"/>
      <c r="M38"/>
      <c r="N38"/>
      <c r="O38"/>
      <c r="P38"/>
      <c r="Q38"/>
      <c r="R38"/>
    </row>
    <row r="39" spans="1:18" hidden="1" x14ac:dyDescent="0.35">
      <c r="A39" s="650"/>
      <c r="B39" s="651"/>
      <c r="C39" s="685"/>
      <c r="D39" s="685"/>
      <c r="E39" s="685"/>
      <c r="F39" s="518"/>
      <c r="G39" s="517"/>
      <c r="H39" s="511">
        <f t="shared" si="2"/>
        <v>0</v>
      </c>
      <c r="I39"/>
      <c r="J39"/>
      <c r="K39"/>
      <c r="L39"/>
      <c r="M39"/>
      <c r="N39"/>
      <c r="O39"/>
      <c r="P39"/>
      <c r="Q39"/>
      <c r="R39"/>
    </row>
    <row r="40" spans="1:18" hidden="1" x14ac:dyDescent="0.35">
      <c r="A40" s="650"/>
      <c r="B40" s="651"/>
      <c r="C40" s="685"/>
      <c r="D40" s="685"/>
      <c r="E40" s="685"/>
      <c r="F40" s="518"/>
      <c r="G40" s="517"/>
      <c r="H40" s="511"/>
      <c r="I40"/>
      <c r="J40"/>
      <c r="K40"/>
      <c r="L40"/>
      <c r="M40"/>
      <c r="N40"/>
      <c r="O40"/>
      <c r="P40"/>
      <c r="Q40"/>
      <c r="R40"/>
    </row>
    <row r="41" spans="1:18" hidden="1" x14ac:dyDescent="0.35">
      <c r="A41" s="650"/>
      <c r="B41" s="651"/>
      <c r="C41" s="685"/>
      <c r="D41" s="685"/>
      <c r="E41" s="685"/>
      <c r="F41" s="518"/>
      <c r="G41" s="517"/>
      <c r="H41" s="511"/>
      <c r="I41"/>
      <c r="J41"/>
      <c r="K41"/>
      <c r="L41"/>
      <c r="M41"/>
      <c r="N41"/>
      <c r="O41"/>
      <c r="P41"/>
      <c r="Q41"/>
      <c r="R41"/>
    </row>
    <row r="42" spans="1:18" hidden="1" x14ac:dyDescent="0.35">
      <c r="A42" s="650"/>
      <c r="B42" s="651"/>
      <c r="C42" s="685"/>
      <c r="D42" s="685"/>
      <c r="E42" s="685"/>
      <c r="F42" s="518"/>
      <c r="G42" s="517"/>
      <c r="H42" s="511"/>
      <c r="I42"/>
      <c r="J42"/>
      <c r="K42"/>
      <c r="L42"/>
      <c r="M42"/>
      <c r="N42"/>
      <c r="O42"/>
      <c r="P42"/>
      <c r="Q42"/>
      <c r="R42"/>
    </row>
    <row r="43" spans="1:18" x14ac:dyDescent="0.35">
      <c r="A43" s="651" t="s">
        <v>488</v>
      </c>
      <c r="B43" s="651"/>
      <c r="C43" s="685"/>
      <c r="D43" s="685">
        <f>E43/12</f>
        <v>2750</v>
      </c>
      <c r="E43" s="685">
        <f>SUM(E44:E47)</f>
        <v>33000</v>
      </c>
      <c r="F43" s="519">
        <f>SUM(F44:F47)</f>
        <v>6750</v>
      </c>
      <c r="G43" s="517">
        <f>SUM(G44:G47)</f>
        <v>2250</v>
      </c>
      <c r="H43" s="511"/>
      <c r="I43"/>
      <c r="J43"/>
      <c r="K43"/>
      <c r="L43"/>
      <c r="M43"/>
      <c r="N43"/>
      <c r="O43"/>
      <c r="P43"/>
      <c r="Q43"/>
      <c r="R43"/>
    </row>
    <row r="44" spans="1:18" ht="32.5" hidden="1" outlineLevel="1" x14ac:dyDescent="0.35">
      <c r="A44" s="650" t="s">
        <v>306</v>
      </c>
      <c r="B44" s="693" t="s">
        <v>527</v>
      </c>
      <c r="C44" s="685"/>
      <c r="D44" s="685">
        <f>ROUND(8*8*10+700/12,-1)*1</f>
        <v>700</v>
      </c>
      <c r="E44" s="685">
        <f>D44*12</f>
        <v>8400</v>
      </c>
      <c r="F44" s="514">
        <f>E44*Eeldused75!$C$38</f>
        <v>6300</v>
      </c>
      <c r="G44" s="514">
        <f>E44*Eeldused75!$D$38</f>
        <v>2100</v>
      </c>
      <c r="H44" s="511">
        <f>G44/$G$62</f>
        <v>8.8663412257630869E-3</v>
      </c>
      <c r="I44"/>
      <c r="J44"/>
      <c r="K44"/>
      <c r="L44"/>
      <c r="M44"/>
      <c r="N44"/>
      <c r="O44"/>
      <c r="P44"/>
      <c r="Q44"/>
      <c r="R44"/>
    </row>
    <row r="45" spans="1:18" hidden="1" outlineLevel="1" x14ac:dyDescent="0.35">
      <c r="A45" s="650" t="s">
        <v>307</v>
      </c>
      <c r="B45" s="651"/>
      <c r="C45" s="685"/>
      <c r="D45" s="611">
        <f>110-60</f>
        <v>50</v>
      </c>
      <c r="E45" s="685">
        <f>D45*12</f>
        <v>600</v>
      </c>
      <c r="F45" s="514">
        <f>E45*Eeldused75!$C$38</f>
        <v>450</v>
      </c>
      <c r="G45" s="514">
        <f>E45*Eeldused75!$D$38</f>
        <v>150</v>
      </c>
      <c r="H45" s="511">
        <f>G45/$G$62</f>
        <v>6.3331008755450617E-4</v>
      </c>
      <c r="I45"/>
      <c r="J45"/>
      <c r="K45"/>
      <c r="L45"/>
      <c r="M45"/>
      <c r="N45"/>
      <c r="O45"/>
      <c r="P45"/>
      <c r="Q45"/>
      <c r="R45"/>
    </row>
    <row r="46" spans="1:18" hidden="1" outlineLevel="1" x14ac:dyDescent="0.35">
      <c r="A46" s="650" t="s">
        <v>308</v>
      </c>
      <c r="B46" s="651"/>
      <c r="C46" s="685"/>
      <c r="D46" s="685">
        <v>2000</v>
      </c>
      <c r="E46" s="685">
        <f>D46*12</f>
        <v>24000</v>
      </c>
      <c r="F46" s="518"/>
      <c r="G46" s="517"/>
      <c r="H46" s="511"/>
      <c r="I46"/>
      <c r="J46"/>
      <c r="K46"/>
      <c r="L46"/>
      <c r="M46"/>
      <c r="N46"/>
      <c r="O46"/>
      <c r="P46"/>
      <c r="Q46"/>
      <c r="R46"/>
    </row>
    <row r="47" spans="1:18" hidden="1" collapsed="1" x14ac:dyDescent="0.35">
      <c r="A47" s="650"/>
      <c r="B47" s="651"/>
      <c r="C47" s="685"/>
      <c r="D47" s="685"/>
      <c r="E47" s="685"/>
      <c r="F47" s="518"/>
      <c r="G47" s="517"/>
      <c r="H47" s="511"/>
      <c r="I47"/>
      <c r="J47"/>
      <c r="K47"/>
      <c r="L47"/>
      <c r="M47"/>
      <c r="N47"/>
      <c r="O47"/>
      <c r="P47"/>
      <c r="Q47"/>
      <c r="R47"/>
    </row>
    <row r="48" spans="1:18" ht="18" customHeight="1" x14ac:dyDescent="0.35">
      <c r="A48" s="651" t="s">
        <v>419</v>
      </c>
      <c r="B48" s="651"/>
      <c r="C48" s="685"/>
      <c r="D48" s="685">
        <f>E48/12</f>
        <v>1869.5</v>
      </c>
      <c r="E48" s="685">
        <f>SUM(E49:E53)</f>
        <v>22434</v>
      </c>
      <c r="F48" s="519">
        <f>SUM(F49:F53)</f>
        <v>16825.5</v>
      </c>
      <c r="G48" s="517">
        <f>SUM(G49:G53)</f>
        <v>5608.5</v>
      </c>
      <c r="H48" s="511">
        <f>G48/$G$62</f>
        <v>2.3679464173662984E-2</v>
      </c>
      <c r="I48"/>
      <c r="J48"/>
      <c r="K48"/>
      <c r="L48"/>
      <c r="M48"/>
      <c r="N48"/>
      <c r="O48"/>
      <c r="P48"/>
      <c r="Q48"/>
      <c r="R48"/>
    </row>
    <row r="49" spans="1:18" ht="22" hidden="1" outlineLevel="1" x14ac:dyDescent="0.35">
      <c r="A49" s="650" t="s">
        <v>309</v>
      </c>
      <c r="B49" s="693" t="s">
        <v>528</v>
      </c>
      <c r="C49" s="685"/>
      <c r="D49" s="685">
        <f>E49/12</f>
        <v>94.5</v>
      </c>
      <c r="E49" s="685">
        <f>12*13.5*7</f>
        <v>1134</v>
      </c>
      <c r="F49" s="514">
        <f>E49*Eeldused75!$C$38</f>
        <v>850.5</v>
      </c>
      <c r="G49" s="514">
        <f>E49*Eeldused75!$D$38</f>
        <v>283.5</v>
      </c>
      <c r="H49" s="511">
        <f>G49/$G$62</f>
        <v>1.1969560654780166E-3</v>
      </c>
      <c r="I49"/>
      <c r="J49"/>
      <c r="K49"/>
      <c r="L49"/>
      <c r="M49"/>
      <c r="N49"/>
      <c r="O49"/>
      <c r="P49"/>
      <c r="Q49"/>
      <c r="R49"/>
    </row>
    <row r="50" spans="1:18" ht="22" hidden="1" outlineLevel="1" x14ac:dyDescent="0.35">
      <c r="A50" s="650" t="s">
        <v>310</v>
      </c>
      <c r="B50" s="693" t="s">
        <v>311</v>
      </c>
      <c r="C50" s="685">
        <v>600</v>
      </c>
      <c r="D50" s="685">
        <f>E50/12</f>
        <v>150</v>
      </c>
      <c r="E50" s="685">
        <f>600*3</f>
        <v>1800</v>
      </c>
      <c r="F50" s="514">
        <f>E50*Eeldused75!$C$38</f>
        <v>1350</v>
      </c>
      <c r="G50" s="514">
        <f>E50*Eeldused75!$D$38</f>
        <v>450</v>
      </c>
      <c r="H50" s="511">
        <f>G50/$G$62</f>
        <v>1.8999302626635185E-3</v>
      </c>
      <c r="I50"/>
      <c r="J50"/>
      <c r="K50"/>
      <c r="L50"/>
      <c r="M50"/>
      <c r="N50"/>
      <c r="O50"/>
      <c r="P50"/>
      <c r="Q50"/>
      <c r="R50"/>
    </row>
    <row r="51" spans="1:18" hidden="1" outlineLevel="1" x14ac:dyDescent="0.35">
      <c r="A51" s="650" t="s">
        <v>312</v>
      </c>
      <c r="B51" s="651"/>
      <c r="C51" s="685"/>
      <c r="D51" s="685">
        <f>E51/12</f>
        <v>291.66666666666669</v>
      </c>
      <c r="E51" s="685">
        <v>3500</v>
      </c>
      <c r="F51" s="514">
        <f>E51*Eeldused75!$C$38</f>
        <v>2625</v>
      </c>
      <c r="G51" s="514">
        <f>E51*Eeldused75!$D$38</f>
        <v>875</v>
      </c>
      <c r="H51" s="511">
        <f>G51/$G$62</f>
        <v>3.6943088440679526E-3</v>
      </c>
      <c r="I51"/>
      <c r="J51"/>
      <c r="K51" s="496"/>
      <c r="L51"/>
      <c r="M51"/>
      <c r="N51"/>
      <c r="O51"/>
      <c r="P51"/>
      <c r="Q51"/>
      <c r="R51"/>
    </row>
    <row r="52" spans="1:18" hidden="1" outlineLevel="1" x14ac:dyDescent="0.35">
      <c r="A52" s="650" t="s">
        <v>313</v>
      </c>
      <c r="B52" s="651"/>
      <c r="C52" s="685"/>
      <c r="D52" s="685">
        <f>E52/12</f>
        <v>1333.3333333333333</v>
      </c>
      <c r="E52" s="685">
        <f>8000*2</f>
        <v>16000</v>
      </c>
      <c r="F52" s="514">
        <f>E52*Eeldused75!$C$38</f>
        <v>12000</v>
      </c>
      <c r="G52" s="514">
        <f>E52*Eeldused75!$D$38</f>
        <v>4000</v>
      </c>
      <c r="H52" s="511">
        <f>G52/$G$62</f>
        <v>1.6888269001453498E-2</v>
      </c>
      <c r="I52"/>
      <c r="J52"/>
      <c r="K52"/>
      <c r="L52"/>
      <c r="M52"/>
      <c r="N52"/>
      <c r="O52"/>
      <c r="P52"/>
      <c r="Q52"/>
      <c r="R52"/>
    </row>
    <row r="53" spans="1:18" hidden="1" outlineLevel="1" x14ac:dyDescent="0.35">
      <c r="A53" s="650"/>
      <c r="B53" s="651"/>
      <c r="C53" s="685"/>
      <c r="D53" s="685"/>
      <c r="E53" s="685"/>
      <c r="F53" s="514"/>
      <c r="G53" s="514"/>
      <c r="H53" s="511"/>
      <c r="I53"/>
      <c r="J53"/>
      <c r="K53"/>
      <c r="L53"/>
      <c r="M53"/>
      <c r="N53"/>
      <c r="O53"/>
      <c r="P53"/>
      <c r="Q53"/>
      <c r="R53"/>
    </row>
    <row r="54" spans="1:18" collapsed="1" x14ac:dyDescent="0.35">
      <c r="A54" s="651" t="s">
        <v>420</v>
      </c>
      <c r="B54" s="651"/>
      <c r="C54" s="685"/>
      <c r="D54" s="685">
        <v>1000</v>
      </c>
      <c r="E54" s="685">
        <f>D54*12</f>
        <v>12000</v>
      </c>
      <c r="F54" s="514">
        <f>E54*Eeldused75!$C$38</f>
        <v>9000</v>
      </c>
      <c r="G54" s="514">
        <f>E54*Eeldused75!$D$38</f>
        <v>3000</v>
      </c>
      <c r="H54" s="511">
        <f t="shared" ref="H54:H59" si="5">G54/$G$62</f>
        <v>1.2666201751090123E-2</v>
      </c>
      <c r="I54"/>
      <c r="J54"/>
      <c r="K54"/>
      <c r="L54"/>
      <c r="M54"/>
      <c r="N54"/>
      <c r="O54"/>
      <c r="P54"/>
      <c r="Q54"/>
      <c r="R54"/>
    </row>
    <row r="55" spans="1:18" ht="19.5" customHeight="1" x14ac:dyDescent="0.35">
      <c r="A55" s="651" t="s">
        <v>421</v>
      </c>
      <c r="B55" s="651" t="s">
        <v>507</v>
      </c>
      <c r="C55" s="696">
        <v>1E-3</v>
      </c>
      <c r="D55" s="685">
        <f>E55/12</f>
        <v>911.5</v>
      </c>
      <c r="E55" s="685">
        <f>C55*'1. Projekti elluviimise kulud'!J13</f>
        <v>10938</v>
      </c>
      <c r="F55" s="518"/>
      <c r="G55" s="517">
        <f>E55</f>
        <v>10938</v>
      </c>
      <c r="H55" s="511">
        <f t="shared" si="5"/>
        <v>4.6180971584474588E-2</v>
      </c>
      <c r="I55"/>
      <c r="J55"/>
      <c r="K55"/>
      <c r="L55"/>
      <c r="M55"/>
      <c r="N55"/>
      <c r="O55"/>
      <c r="P55"/>
      <c r="Q55"/>
      <c r="R55"/>
    </row>
    <row r="56" spans="1:18" x14ac:dyDescent="0.35">
      <c r="A56" s="651" t="s">
        <v>422</v>
      </c>
      <c r="B56" s="651"/>
      <c r="C56" s="685"/>
      <c r="D56" s="685">
        <f>E56/12</f>
        <v>595</v>
      </c>
      <c r="E56" s="685">
        <f>SUM(E57:E61)</f>
        <v>7140</v>
      </c>
      <c r="F56" s="520">
        <f>SUM(F57:F61)</f>
        <v>2700</v>
      </c>
      <c r="G56" s="517">
        <f>SUM(G57:G61)</f>
        <v>4440</v>
      </c>
      <c r="H56" s="511">
        <f t="shared" si="5"/>
        <v>1.8745978591613383E-2</v>
      </c>
      <c r="I56"/>
      <c r="J56"/>
      <c r="K56"/>
      <c r="L56"/>
      <c r="M56"/>
      <c r="N56"/>
      <c r="O56"/>
      <c r="P56"/>
      <c r="Q56"/>
      <c r="R56"/>
    </row>
    <row r="57" spans="1:18" ht="29" hidden="1" outlineLevel="1" x14ac:dyDescent="0.35">
      <c r="A57" s="650" t="s">
        <v>314</v>
      </c>
      <c r="B57" s="651"/>
      <c r="C57" s="685"/>
      <c r="D57" s="685">
        <v>55</v>
      </c>
      <c r="E57" s="685">
        <f>D57*12</f>
        <v>660</v>
      </c>
      <c r="F57" s="518"/>
      <c r="G57" s="517">
        <f>E57</f>
        <v>660</v>
      </c>
      <c r="H57" s="511">
        <f t="shared" si="5"/>
        <v>2.7865643852398271E-3</v>
      </c>
      <c r="I57"/>
      <c r="J57"/>
      <c r="K57"/>
      <c r="L57"/>
      <c r="M57"/>
      <c r="N57"/>
      <c r="O57"/>
      <c r="P57"/>
      <c r="Q57"/>
      <c r="R57"/>
    </row>
    <row r="58" spans="1:18" hidden="1" outlineLevel="1" x14ac:dyDescent="0.35">
      <c r="A58" s="650" t="s">
        <v>315</v>
      </c>
      <c r="B58" s="651"/>
      <c r="C58" s="685"/>
      <c r="D58" s="685">
        <f>500-200</f>
        <v>300</v>
      </c>
      <c r="E58" s="685">
        <f>D58*12</f>
        <v>3600</v>
      </c>
      <c r="F58" s="514">
        <f>E58*Eeldused75!$C$38</f>
        <v>2700</v>
      </c>
      <c r="G58" s="514">
        <f>E58*Eeldused75!$D$38</f>
        <v>900</v>
      </c>
      <c r="H58" s="511">
        <f t="shared" si="5"/>
        <v>3.799860525327037E-3</v>
      </c>
      <c r="I58"/>
      <c r="J58"/>
      <c r="K58"/>
      <c r="L58"/>
      <c r="M58"/>
      <c r="N58"/>
      <c r="O58"/>
      <c r="P58"/>
      <c r="Q58"/>
      <c r="R58"/>
    </row>
    <row r="59" spans="1:18" hidden="1" outlineLevel="1" x14ac:dyDescent="0.35">
      <c r="A59" s="650" t="s">
        <v>296</v>
      </c>
      <c r="B59" s="651"/>
      <c r="C59" s="685"/>
      <c r="D59" s="685">
        <f>240</f>
        <v>240</v>
      </c>
      <c r="E59" s="685">
        <f>D59*12</f>
        <v>2880</v>
      </c>
      <c r="F59" s="514"/>
      <c r="G59" s="515">
        <f>E59</f>
        <v>2880</v>
      </c>
      <c r="H59" s="511">
        <f t="shared" si="5"/>
        <v>1.2159553681046518E-2</v>
      </c>
      <c r="I59"/>
      <c r="J59"/>
      <c r="K59"/>
      <c r="L59"/>
      <c r="M59"/>
      <c r="N59"/>
      <c r="O59"/>
      <c r="P59"/>
      <c r="Q59"/>
      <c r="R59"/>
    </row>
    <row r="60" spans="1:18" hidden="1" outlineLevel="1" x14ac:dyDescent="0.35">
      <c r="A60" s="650"/>
      <c r="B60" s="651"/>
      <c r="C60" s="685"/>
      <c r="D60" s="685"/>
      <c r="E60" s="685"/>
      <c r="F60" s="515"/>
      <c r="G60" s="515"/>
      <c r="H60" s="494">
        <f>G60/$G$71</f>
        <v>0</v>
      </c>
      <c r="I60"/>
      <c r="J60"/>
      <c r="K60"/>
      <c r="L60"/>
      <c r="M60"/>
      <c r="N60"/>
      <c r="O60"/>
      <c r="P60"/>
      <c r="Q60"/>
      <c r="R60"/>
    </row>
    <row r="61" spans="1:18" collapsed="1" x14ac:dyDescent="0.35">
      <c r="A61" s="650"/>
      <c r="B61" s="651"/>
      <c r="C61" s="685"/>
      <c r="D61" s="685"/>
      <c r="E61" s="685"/>
      <c r="F61" s="515"/>
      <c r="G61" s="515"/>
      <c r="H61" s="494"/>
      <c r="I61"/>
      <c r="J61"/>
      <c r="K61"/>
      <c r="L61"/>
      <c r="M61"/>
      <c r="N61"/>
      <c r="O61"/>
      <c r="P61"/>
      <c r="Q61"/>
      <c r="R61"/>
    </row>
    <row r="62" spans="1:18" x14ac:dyDescent="0.35">
      <c r="A62" s="697" t="s">
        <v>368</v>
      </c>
      <c r="B62" s="651"/>
      <c r="C62" s="685"/>
      <c r="D62" s="698">
        <f>E62/12</f>
        <v>30960.62457567333</v>
      </c>
      <c r="E62" s="698">
        <f>E4+E25+E29+E31+E56+E36+E43+E48+E54+E55</f>
        <v>371527.49490807997</v>
      </c>
      <c r="F62" s="521">
        <f>F4+F25+F29+F31+F56+F36+F43+F48+F54+F55</f>
        <v>110676.69630606001</v>
      </c>
      <c r="G62" s="521">
        <f>G4+G25+G29+G31+G56+G36+G43+G48+G54+G55</f>
        <v>236850.79860202002</v>
      </c>
      <c r="H62" s="511"/>
      <c r="I62"/>
      <c r="J62"/>
      <c r="K62" s="502"/>
      <c r="L62"/>
      <c r="M62"/>
      <c r="N62"/>
      <c r="O62"/>
      <c r="P62"/>
      <c r="Q62"/>
      <c r="R62"/>
    </row>
    <row r="63" spans="1:18" x14ac:dyDescent="0.35">
      <c r="A63" s="697"/>
      <c r="B63" s="651"/>
      <c r="C63" s="685"/>
      <c r="D63" s="685"/>
      <c r="E63" s="698"/>
      <c r="F63" s="515"/>
      <c r="G63" s="515"/>
      <c r="H63" s="511"/>
      <c r="I63"/>
      <c r="J63"/>
      <c r="K63"/>
      <c r="L63"/>
      <c r="M63"/>
      <c r="N63"/>
      <c r="O63"/>
      <c r="P63"/>
      <c r="Q63"/>
      <c r="R63"/>
    </row>
    <row r="64" spans="1:18" x14ac:dyDescent="0.35">
      <c r="A64" s="684" t="s">
        <v>423</v>
      </c>
      <c r="B64" s="651"/>
      <c r="C64" s="685"/>
      <c r="D64" s="614"/>
      <c r="E64" s="614"/>
      <c r="F64" s="490"/>
      <c r="G64" s="517"/>
      <c r="H64" s="511"/>
      <c r="I64"/>
      <c r="J64"/>
      <c r="K64"/>
      <c r="L64"/>
      <c r="M64"/>
      <c r="N64"/>
      <c r="O64"/>
      <c r="P64"/>
      <c r="Q64"/>
      <c r="R64"/>
    </row>
    <row r="65" spans="1:18" x14ac:dyDescent="0.35">
      <c r="A65" s="650" t="s">
        <v>589</v>
      </c>
      <c r="B65" s="651"/>
      <c r="C65" s="699"/>
      <c r="D65" s="685">
        <f>E65/12</f>
        <v>36460</v>
      </c>
      <c r="E65" s="685">
        <f>'1. Projekti elluviimise kulud'!J8/'1. Projekti elluviimise kulud'!L8</f>
        <v>437520</v>
      </c>
      <c r="F65" s="490"/>
      <c r="G65" s="517">
        <f>E65</f>
        <v>437520</v>
      </c>
      <c r="H65" s="511"/>
      <c r="I65"/>
      <c r="J65"/>
      <c r="K65"/>
      <c r="L65"/>
      <c r="M65"/>
      <c r="N65"/>
      <c r="O65"/>
      <c r="P65"/>
      <c r="Q65"/>
      <c r="R65"/>
    </row>
    <row r="66" spans="1:18" hidden="1" x14ac:dyDescent="0.35">
      <c r="A66" s="710" t="s">
        <v>347</v>
      </c>
      <c r="B66" s="651"/>
      <c r="C66" s="699"/>
      <c r="D66" s="709">
        <f>E66/12</f>
        <v>0</v>
      </c>
      <c r="E66" s="685">
        <f>IF(ISERROR('1. Projekti elluviimise kulud'!J9/'1. Projekti elluviimise kulud'!L9),0,'1. Projekti elluviimise kulud'!J9/'1. Projekti elluviimise kulud'!L9)</f>
        <v>0</v>
      </c>
      <c r="F66" s="490"/>
      <c r="G66" s="517">
        <f>E66</f>
        <v>0</v>
      </c>
      <c r="H66" s="511"/>
      <c r="I66"/>
      <c r="J66"/>
      <c r="K66"/>
      <c r="L66"/>
      <c r="M66"/>
      <c r="N66"/>
      <c r="O66"/>
      <c r="P66"/>
      <c r="Q66"/>
      <c r="R66"/>
    </row>
    <row r="67" spans="1:18" ht="30.75" hidden="1" customHeight="1" x14ac:dyDescent="0.35">
      <c r="A67" s="650"/>
      <c r="B67" s="651"/>
      <c r="C67" s="699"/>
      <c r="D67" s="685"/>
      <c r="E67" s="685"/>
      <c r="F67" s="490"/>
      <c r="G67" s="517">
        <f>E67</f>
        <v>0</v>
      </c>
      <c r="H67" s="511"/>
      <c r="I67"/>
      <c r="J67"/>
      <c r="K67"/>
      <c r="L67"/>
      <c r="M67"/>
      <c r="N67"/>
      <c r="O67"/>
      <c r="P67"/>
      <c r="Q67"/>
      <c r="R67"/>
    </row>
    <row r="68" spans="1:18" ht="31.5" hidden="1" customHeight="1" x14ac:dyDescent="0.35">
      <c r="A68" s="650"/>
      <c r="B68" s="651"/>
      <c r="C68" s="699"/>
      <c r="D68" s="685"/>
      <c r="E68" s="685"/>
      <c r="F68" s="490"/>
      <c r="G68" s="517">
        <f>E68</f>
        <v>0</v>
      </c>
      <c r="H68" s="511"/>
      <c r="I68"/>
      <c r="J68"/>
      <c r="K68"/>
      <c r="L68"/>
      <c r="M68"/>
      <c r="N68"/>
      <c r="O68"/>
      <c r="P68"/>
      <c r="Q68"/>
      <c r="R68"/>
    </row>
    <row r="69" spans="1:18" x14ac:dyDescent="0.35">
      <c r="A69" s="697" t="s">
        <v>508</v>
      </c>
      <c r="B69" s="611"/>
      <c r="C69" s="626"/>
      <c r="D69" s="698">
        <f>SUM(D65:D68)</f>
        <v>36460</v>
      </c>
      <c r="E69" s="698">
        <f>SUM(E65:E68)</f>
        <v>437520</v>
      </c>
      <c r="F69" s="521">
        <f>SUM(F65:F68)</f>
        <v>0</v>
      </c>
      <c r="G69" s="521">
        <f>SUM(G65:G68)</f>
        <v>437520</v>
      </c>
      <c r="H69"/>
      <c r="I69"/>
      <c r="J69"/>
      <c r="K69"/>
      <c r="L69"/>
      <c r="M69"/>
      <c r="N69"/>
      <c r="O69"/>
      <c r="P69"/>
      <c r="Q69"/>
      <c r="R69"/>
    </row>
    <row r="70" spans="1:18" x14ac:dyDescent="0.35">
      <c r="A70" s="697"/>
      <c r="B70" s="611"/>
      <c r="C70" s="626"/>
      <c r="D70" s="685"/>
      <c r="E70" s="685"/>
      <c r="F70" s="490"/>
      <c r="G70" s="490"/>
      <c r="H70"/>
      <c r="I70"/>
      <c r="J70"/>
      <c r="K70"/>
      <c r="L70"/>
      <c r="M70"/>
      <c r="N70"/>
      <c r="O70"/>
      <c r="P70"/>
      <c r="Q70"/>
      <c r="R70"/>
    </row>
    <row r="71" spans="1:18" x14ac:dyDescent="0.35">
      <c r="A71" s="683" t="s">
        <v>71</v>
      </c>
      <c r="B71" s="677"/>
      <c r="C71" s="677"/>
      <c r="D71" s="678">
        <f>E71/12</f>
        <v>67420.624575673326</v>
      </c>
      <c r="E71" s="678">
        <f>E62+E69</f>
        <v>809047.49490807997</v>
      </c>
      <c r="F71" s="505">
        <f>F62+F69</f>
        <v>110676.69630606001</v>
      </c>
      <c r="G71" s="505">
        <f>G62+G69</f>
        <v>674370.79860202002</v>
      </c>
      <c r="H71"/>
      <c r="I71"/>
      <c r="J71"/>
      <c r="K71"/>
      <c r="L71"/>
      <c r="M71"/>
      <c r="N71"/>
      <c r="O71"/>
      <c r="P71"/>
      <c r="Q71"/>
      <c r="R71"/>
    </row>
    <row r="72" spans="1:18" x14ac:dyDescent="0.35">
      <c r="A72" s="522"/>
      <c r="B72" s="523"/>
      <c r="C72" s="523"/>
      <c r="D72" s="524"/>
      <c r="E72" s="524"/>
      <c r="F72" s="524"/>
      <c r="G72" s="524"/>
      <c r="H72"/>
      <c r="I72"/>
      <c r="J72"/>
      <c r="K72"/>
      <c r="L72"/>
      <c r="M72"/>
      <c r="N72"/>
      <c r="O72"/>
      <c r="P72"/>
      <c r="Q72"/>
      <c r="R72"/>
    </row>
    <row r="73" spans="1:18" x14ac:dyDescent="0.35">
      <c r="A73" s="373"/>
      <c r="B73" s="369"/>
      <c r="C73" s="369"/>
      <c r="D73" s="374"/>
      <c r="E73" s="374"/>
      <c r="F73" s="374"/>
      <c r="G73" s="374"/>
    </row>
    <row r="74" spans="1:18" x14ac:dyDescent="0.35">
      <c r="E74" s="371"/>
      <c r="G74" s="371"/>
    </row>
    <row r="75" spans="1:18" x14ac:dyDescent="0.35">
      <c r="E75" s="370"/>
      <c r="G75" s="370"/>
    </row>
    <row r="77" spans="1:18" x14ac:dyDescent="0.35">
      <c r="E77" s="372"/>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43"/>
  <sheetViews>
    <sheetView topLeftCell="A9" workbookViewId="0">
      <selection activeCell="F15" sqref="F15"/>
    </sheetView>
  </sheetViews>
  <sheetFormatPr defaultColWidth="9.1796875" defaultRowHeight="14" x14ac:dyDescent="0.3"/>
  <cols>
    <col min="1" max="1" width="33.54296875" style="525" customWidth="1"/>
    <col min="2" max="2" width="12.54296875" style="525" customWidth="1"/>
    <col min="3" max="3" width="12.81640625" style="525" customWidth="1"/>
    <col min="4" max="4" width="12" style="525" customWidth="1"/>
    <col min="5" max="6" width="13.26953125" style="525" customWidth="1"/>
    <col min="7" max="7" width="0" style="525" hidden="1" customWidth="1"/>
    <col min="8" max="16384" width="9.1796875" style="525"/>
  </cols>
  <sheetData>
    <row r="1" spans="1:9" x14ac:dyDescent="0.3">
      <c r="A1" s="528" t="s">
        <v>362</v>
      </c>
      <c r="B1" s="529"/>
      <c r="C1" s="529"/>
      <c r="D1" s="529"/>
      <c r="E1" s="529"/>
      <c r="F1" s="529"/>
      <c r="G1" s="529"/>
      <c r="H1" s="529"/>
      <c r="I1" s="529"/>
    </row>
    <row r="2" spans="1:9" x14ac:dyDescent="0.3">
      <c r="A2" s="529" t="s">
        <v>570</v>
      </c>
      <c r="B2" s="529"/>
      <c r="C2" s="529"/>
      <c r="D2" s="529"/>
      <c r="E2" s="529"/>
      <c r="F2" s="529"/>
      <c r="G2" s="529"/>
      <c r="H2" s="529"/>
      <c r="I2" s="529"/>
    </row>
    <row r="3" spans="1:9" ht="28" x14ac:dyDescent="0.3">
      <c r="A3" s="530"/>
      <c r="B3" s="531" t="s">
        <v>371</v>
      </c>
      <c r="C3" s="532" t="s">
        <v>372</v>
      </c>
      <c r="D3" s="533" t="s">
        <v>373</v>
      </c>
      <c r="E3" s="530"/>
      <c r="F3" s="529"/>
      <c r="G3" s="529" t="s">
        <v>361</v>
      </c>
      <c r="H3" s="529"/>
      <c r="I3" s="529"/>
    </row>
    <row r="4" spans="1:9" x14ac:dyDescent="0.3">
      <c r="A4" s="534" t="s">
        <v>365</v>
      </c>
      <c r="B4" s="535"/>
      <c r="C4" s="536"/>
      <c r="D4" s="537"/>
      <c r="E4" s="537"/>
      <c r="F4" s="529"/>
      <c r="G4" s="529"/>
      <c r="H4" s="529"/>
      <c r="I4" s="529"/>
    </row>
    <row r="5" spans="1:9" x14ac:dyDescent="0.3">
      <c r="A5" s="538"/>
      <c r="B5" s="539"/>
      <c r="C5" s="540"/>
      <c r="D5" s="538"/>
      <c r="E5" s="538"/>
      <c r="F5" s="529"/>
      <c r="G5" s="529"/>
      <c r="H5" s="529"/>
      <c r="I5" s="529"/>
    </row>
    <row r="6" spans="1:9" x14ac:dyDescent="0.3">
      <c r="A6" s="538" t="str">
        <f>Tulud25!A3</f>
        <v>Üüritulud</v>
      </c>
      <c r="B6" s="541">
        <f>Tulud75!G33</f>
        <v>34258.35</v>
      </c>
      <c r="C6" s="542">
        <f>Tulud75!H33</f>
        <v>411100.2</v>
      </c>
      <c r="D6" s="526">
        <f>C6/$C$9</f>
        <v>0.78788501926858012</v>
      </c>
      <c r="E6" s="526"/>
      <c r="F6" s="527"/>
      <c r="G6" s="543">
        <f>C6/1000</f>
        <v>411.10020000000003</v>
      </c>
      <c r="H6" s="529"/>
      <c r="I6" s="529"/>
    </row>
    <row r="7" spans="1:9" x14ac:dyDescent="0.3">
      <c r="A7" s="544" t="str">
        <f>Tulud25!A35</f>
        <v>Arved üürnikele kommunaalkulude eest</v>
      </c>
      <c r="B7" s="541">
        <f>Tulud75!G47</f>
        <v>9223.0580255050008</v>
      </c>
      <c r="C7" s="542">
        <f>Tulud75!H47</f>
        <v>110676.69630606001</v>
      </c>
      <c r="D7" s="526">
        <f>C7/$C$9</f>
        <v>0.21211498073141991</v>
      </c>
      <c r="E7" s="526"/>
      <c r="F7" s="527"/>
      <c r="G7" s="529"/>
      <c r="H7" s="529"/>
      <c r="I7" s="529"/>
    </row>
    <row r="8" spans="1:9" x14ac:dyDescent="0.3">
      <c r="A8" s="538"/>
      <c r="B8" s="539"/>
      <c r="C8" s="540"/>
      <c r="D8" s="538"/>
      <c r="E8" s="538"/>
      <c r="F8" s="529"/>
      <c r="G8" s="529"/>
      <c r="H8" s="529"/>
      <c r="I8" s="529"/>
    </row>
    <row r="9" spans="1:9" x14ac:dyDescent="0.3">
      <c r="A9" s="545" t="s">
        <v>364</v>
      </c>
      <c r="B9" s="546">
        <f>SUM(B6:B8)</f>
        <v>43481.408025504999</v>
      </c>
      <c r="C9" s="547">
        <f>SUM(C6:C8)</f>
        <v>521776.89630606002</v>
      </c>
      <c r="D9" s="538"/>
      <c r="E9" s="538"/>
      <c r="F9" s="529"/>
      <c r="G9" s="543">
        <f>C9/1000</f>
        <v>521.77689630606005</v>
      </c>
      <c r="H9" s="529"/>
      <c r="I9" s="529"/>
    </row>
    <row r="10" spans="1:9" x14ac:dyDescent="0.3">
      <c r="A10" s="529"/>
      <c r="B10" s="529"/>
      <c r="C10" s="529"/>
      <c r="D10" s="529"/>
      <c r="E10" s="529"/>
      <c r="F10" s="529"/>
      <c r="G10" s="529"/>
      <c r="H10" s="529"/>
      <c r="I10" s="529"/>
    </row>
    <row r="11" spans="1:9" ht="48" customHeight="1" x14ac:dyDescent="0.3">
      <c r="A11" s="534" t="s">
        <v>366</v>
      </c>
      <c r="B11" s="535"/>
      <c r="C11" s="536"/>
      <c r="D11" s="548" t="s">
        <v>374</v>
      </c>
      <c r="E11" s="548" t="s">
        <v>375</v>
      </c>
      <c r="F11" s="549"/>
      <c r="G11" s="529"/>
      <c r="H11" s="529"/>
      <c r="I11" s="529"/>
    </row>
    <row r="12" spans="1:9" x14ac:dyDescent="0.3">
      <c r="A12" s="550"/>
      <c r="B12" s="539"/>
      <c r="C12" s="540"/>
      <c r="D12" s="538"/>
      <c r="E12" s="538"/>
      <c r="F12" s="529"/>
      <c r="G12" s="529"/>
      <c r="H12" s="529"/>
      <c r="I12" s="529"/>
    </row>
    <row r="13" spans="1:9" x14ac:dyDescent="0.3">
      <c r="A13" s="545" t="s">
        <v>367</v>
      </c>
      <c r="B13" s="539"/>
      <c r="C13" s="540"/>
      <c r="D13" s="538"/>
      <c r="E13" s="538"/>
      <c r="F13" s="529"/>
      <c r="G13" s="529"/>
      <c r="H13" s="529"/>
      <c r="I13" s="529"/>
    </row>
    <row r="14" spans="1:9" x14ac:dyDescent="0.3">
      <c r="A14" s="538" t="str">
        <f>Kulud75!A4</f>
        <v>Kommunaalteenused</v>
      </c>
      <c r="B14" s="541">
        <f>C14/12</f>
        <v>7833.4192423399991</v>
      </c>
      <c r="C14" s="542">
        <f>Kulud75!E4</f>
        <v>94001.030908079993</v>
      </c>
      <c r="D14" s="526">
        <f>C14/$C$35</f>
        <v>0.1161872838117618</v>
      </c>
      <c r="E14" s="526">
        <f>C14/$C$25</f>
        <v>0.2530123132107272</v>
      </c>
      <c r="F14" s="527"/>
      <c r="G14" s="529"/>
      <c r="H14" s="529"/>
      <c r="I14" s="529"/>
    </row>
    <row r="15" spans="1:9" x14ac:dyDescent="0.3">
      <c r="A15" s="538" t="str">
        <f>Kulud75!A25</f>
        <v>Personalikulud</v>
      </c>
      <c r="B15" s="541">
        <f t="shared" ref="B15:B23" si="0">C15/12</f>
        <v>7417.8720000000003</v>
      </c>
      <c r="C15" s="542">
        <f>Kulud75!E25</f>
        <v>89014.464000000007</v>
      </c>
      <c r="D15" s="526">
        <f t="shared" ref="D15:D25" si="1">C15/$C$35</f>
        <v>0.11002378050761209</v>
      </c>
      <c r="E15" s="526">
        <f t="shared" ref="E15:E25" si="2">C15/$C$25</f>
        <v>0.23959051542611448</v>
      </c>
      <c r="F15" s="527"/>
      <c r="G15" s="529"/>
      <c r="H15" s="529"/>
      <c r="I15" s="529"/>
    </row>
    <row r="16" spans="1:9" x14ac:dyDescent="0.3">
      <c r="A16" s="538" t="str">
        <f>Kulud75!A29</f>
        <v>Remonditööd</v>
      </c>
      <c r="B16" s="541">
        <f t="shared" si="0"/>
        <v>2250</v>
      </c>
      <c r="C16" s="542">
        <f>Kulud75!E29</f>
        <v>27000</v>
      </c>
      <c r="D16" s="526">
        <f t="shared" si="1"/>
        <v>3.337257722189426E-2</v>
      </c>
      <c r="E16" s="526">
        <f t="shared" si="2"/>
        <v>7.2672952527188056E-2</v>
      </c>
      <c r="F16" s="527"/>
      <c r="G16" s="529"/>
      <c r="H16" s="529"/>
      <c r="I16" s="529"/>
    </row>
    <row r="17" spans="1:9" x14ac:dyDescent="0.3">
      <c r="A17" s="538" t="str">
        <f>Kulud75!A31</f>
        <v>Tehnohooldus</v>
      </c>
      <c r="B17" s="541">
        <f t="shared" si="0"/>
        <v>1750</v>
      </c>
      <c r="C17" s="542">
        <f>Kulud75!E31</f>
        <v>21000</v>
      </c>
      <c r="D17" s="526">
        <f t="shared" si="1"/>
        <v>2.5956448950362199E-2</v>
      </c>
      <c r="E17" s="526">
        <f t="shared" si="2"/>
        <v>5.652340752114627E-2</v>
      </c>
      <c r="F17" s="527"/>
      <c r="G17" s="529"/>
      <c r="H17" s="529"/>
      <c r="I17" s="529"/>
    </row>
    <row r="18" spans="1:9" x14ac:dyDescent="0.3">
      <c r="A18" s="538" t="str">
        <f>Kulud75!A36</f>
        <v>Turundus</v>
      </c>
      <c r="B18" s="541">
        <f t="shared" si="0"/>
        <v>4583.333333333333</v>
      </c>
      <c r="C18" s="542">
        <f>Kulud75!E36</f>
        <v>55000</v>
      </c>
      <c r="D18" s="526">
        <f t="shared" si="1"/>
        <v>6.7981175822377185E-2</v>
      </c>
      <c r="E18" s="526">
        <f t="shared" si="2"/>
        <v>0.14803749588871642</v>
      </c>
      <c r="F18" s="527"/>
      <c r="G18" s="529"/>
      <c r="H18" s="529"/>
      <c r="I18" s="529"/>
    </row>
    <row r="19" spans="1:9" x14ac:dyDescent="0.3">
      <c r="A19" s="538" t="str">
        <f>Kulud75!A43</f>
        <v>Hooldus (hooned)</v>
      </c>
      <c r="B19" s="541">
        <f t="shared" si="0"/>
        <v>2750</v>
      </c>
      <c r="C19" s="542">
        <f>Kulud75!E43</f>
        <v>33000</v>
      </c>
      <c r="D19" s="526">
        <f t="shared" si="1"/>
        <v>4.0788705493426315E-2</v>
      </c>
      <c r="E19" s="526">
        <f t="shared" si="2"/>
        <v>8.8822497533229849E-2</v>
      </c>
      <c r="F19" s="527"/>
      <c r="G19" s="529"/>
      <c r="H19" s="529"/>
      <c r="I19" s="529"/>
    </row>
    <row r="20" spans="1:9" x14ac:dyDescent="0.3">
      <c r="A20" s="538" t="str">
        <f>Kulud75!A48</f>
        <v>Hooldus (territoorium)</v>
      </c>
      <c r="B20" s="541">
        <f t="shared" si="0"/>
        <v>1869.5</v>
      </c>
      <c r="C20" s="542">
        <f>Kulud75!E48</f>
        <v>22434</v>
      </c>
      <c r="D20" s="526">
        <f t="shared" si="1"/>
        <v>2.7728903607258361E-2</v>
      </c>
      <c r="E20" s="526">
        <f t="shared" si="2"/>
        <v>6.0383148777590261E-2</v>
      </c>
      <c r="F20" s="527"/>
      <c r="G20" s="529"/>
      <c r="H20" s="529"/>
      <c r="I20" s="529"/>
    </row>
    <row r="21" spans="1:9" x14ac:dyDescent="0.3">
      <c r="A21" s="538" t="str">
        <f>Kulud75!A54</f>
        <v>Valve</v>
      </c>
      <c r="B21" s="541">
        <f t="shared" si="0"/>
        <v>1000</v>
      </c>
      <c r="C21" s="542">
        <f>Kulud75!E54</f>
        <v>12000</v>
      </c>
      <c r="D21" s="526">
        <f t="shared" si="1"/>
        <v>1.4832256543064115E-2</v>
      </c>
      <c r="E21" s="526">
        <f t="shared" si="2"/>
        <v>3.229909001208358E-2</v>
      </c>
      <c r="F21" s="527"/>
      <c r="G21" s="529"/>
      <c r="H21" s="529"/>
      <c r="I21" s="529"/>
    </row>
    <row r="22" spans="1:9" x14ac:dyDescent="0.3">
      <c r="A22" s="538" t="str">
        <f>Kulud75!A55</f>
        <v>Kindlustus</v>
      </c>
      <c r="B22" s="541">
        <f t="shared" si="0"/>
        <v>911.5</v>
      </c>
      <c r="C22" s="542">
        <f>Kulud75!E55</f>
        <v>10938</v>
      </c>
      <c r="D22" s="526">
        <f t="shared" si="1"/>
        <v>1.3519601839002941E-2</v>
      </c>
      <c r="E22" s="526">
        <f t="shared" si="2"/>
        <v>2.9440620546014186E-2</v>
      </c>
      <c r="F22" s="527"/>
      <c r="G22" s="529"/>
      <c r="H22" s="529"/>
      <c r="I22" s="529"/>
    </row>
    <row r="23" spans="1:9" x14ac:dyDescent="0.3">
      <c r="A23" s="538" t="str">
        <f>Kulud75!A56</f>
        <v>Muu</v>
      </c>
      <c r="B23" s="541">
        <f t="shared" si="0"/>
        <v>595</v>
      </c>
      <c r="C23" s="542">
        <f>Kulud75!E56</f>
        <v>7140</v>
      </c>
      <c r="D23" s="526">
        <f t="shared" si="1"/>
        <v>8.8251926431231476E-3</v>
      </c>
      <c r="E23" s="526">
        <f t="shared" si="2"/>
        <v>1.9217958557189732E-2</v>
      </c>
      <c r="F23" s="527"/>
      <c r="G23" s="529"/>
      <c r="H23" s="529"/>
      <c r="I23" s="529"/>
    </row>
    <row r="24" spans="1:9" x14ac:dyDescent="0.3">
      <c r="A24" s="538"/>
      <c r="B24" s="541"/>
      <c r="C24" s="542"/>
      <c r="D24" s="538"/>
      <c r="E24" s="538"/>
      <c r="F24" s="529"/>
      <c r="G24" s="529"/>
      <c r="H24" s="529"/>
      <c r="I24" s="529"/>
    </row>
    <row r="25" spans="1:9" x14ac:dyDescent="0.3">
      <c r="A25" s="545" t="s">
        <v>368</v>
      </c>
      <c r="B25" s="546">
        <f>SUM(B14:B24)</f>
        <v>30960.62457567333</v>
      </c>
      <c r="C25" s="547">
        <f>SUM(C14:C24)</f>
        <v>371527.49490807997</v>
      </c>
      <c r="D25" s="526">
        <f t="shared" si="1"/>
        <v>0.4592159264398824</v>
      </c>
      <c r="E25" s="526">
        <f t="shared" si="2"/>
        <v>1</v>
      </c>
      <c r="F25" s="527"/>
      <c r="G25" s="529"/>
      <c r="H25" s="529"/>
      <c r="I25" s="529"/>
    </row>
    <row r="26" spans="1:9" x14ac:dyDescent="0.3">
      <c r="A26" s="529"/>
      <c r="B26" s="551"/>
      <c r="C26" s="551"/>
      <c r="D26" s="529"/>
      <c r="E26" s="529"/>
      <c r="F26" s="529"/>
      <c r="G26" s="529"/>
      <c r="H26" s="529"/>
      <c r="I26" s="529"/>
    </row>
    <row r="27" spans="1:9" x14ac:dyDescent="0.3">
      <c r="A27" s="552" t="s">
        <v>316</v>
      </c>
      <c r="B27" s="553">
        <f>B9-B25</f>
        <v>12520.78344983167</v>
      </c>
      <c r="C27" s="554">
        <f>C9-C25</f>
        <v>150249.40139798005</v>
      </c>
      <c r="D27" s="555"/>
      <c r="E27" s="555"/>
      <c r="F27" s="556"/>
      <c r="G27" s="543">
        <f>C27/1000</f>
        <v>150.24940139798005</v>
      </c>
      <c r="H27" s="529"/>
      <c r="I27" s="529"/>
    </row>
    <row r="28" spans="1:9" x14ac:dyDescent="0.3">
      <c r="A28" s="538"/>
      <c r="B28" s="541"/>
      <c r="C28" s="542"/>
      <c r="D28" s="538"/>
      <c r="E28" s="538"/>
      <c r="F28" s="529"/>
      <c r="G28" s="529"/>
      <c r="H28" s="529"/>
      <c r="I28" s="529"/>
    </row>
    <row r="29" spans="1:9" x14ac:dyDescent="0.3">
      <c r="A29" s="538" t="str">
        <f>Kulud75!A64</f>
        <v>Amortisatsioon</v>
      </c>
      <c r="B29" s="541">
        <f>SUM(B30:B33)</f>
        <v>36460</v>
      </c>
      <c r="C29" s="542">
        <f>SUM(C30:C33)</f>
        <v>437520</v>
      </c>
      <c r="D29" s="526">
        <f t="shared" ref="D29:D33" si="3">C29/$C$35</f>
        <v>0.5407840735601176</v>
      </c>
      <c r="E29" s="526"/>
      <c r="F29" s="527"/>
      <c r="G29" s="529"/>
      <c r="H29" s="529"/>
      <c r="I29" s="529"/>
    </row>
    <row r="30" spans="1:9" hidden="1" x14ac:dyDescent="0.3">
      <c r="A30" s="557" t="s">
        <v>346</v>
      </c>
      <c r="B30" s="541">
        <f>C30/12</f>
        <v>36460</v>
      </c>
      <c r="C30" s="542">
        <f>Kulud75!E65</f>
        <v>437520</v>
      </c>
      <c r="D30" s="526">
        <f t="shared" si="3"/>
        <v>0.5407840735601176</v>
      </c>
      <c r="E30" s="538"/>
      <c r="F30" s="529"/>
      <c r="G30" s="529"/>
      <c r="H30" s="529"/>
      <c r="I30" s="529"/>
    </row>
    <row r="31" spans="1:9" hidden="1" x14ac:dyDescent="0.3">
      <c r="A31" s="557" t="s">
        <v>347</v>
      </c>
      <c r="B31" s="541">
        <f>C31/12</f>
        <v>0</v>
      </c>
      <c r="C31" s="542">
        <f>Kulud75!E66</f>
        <v>0</v>
      </c>
      <c r="D31" s="526">
        <f t="shared" si="3"/>
        <v>0</v>
      </c>
      <c r="E31" s="538"/>
      <c r="F31" s="529"/>
      <c r="G31" s="529"/>
      <c r="H31" s="529"/>
      <c r="I31" s="529"/>
    </row>
    <row r="32" spans="1:9" hidden="1" x14ac:dyDescent="0.3">
      <c r="A32" s="557">
        <f>Kulud75!A67</f>
        <v>0</v>
      </c>
      <c r="B32" s="541">
        <f>C32/12</f>
        <v>0</v>
      </c>
      <c r="C32" s="542">
        <f>Kulud75!E67</f>
        <v>0</v>
      </c>
      <c r="D32" s="526">
        <f t="shared" si="3"/>
        <v>0</v>
      </c>
      <c r="E32" s="538"/>
      <c r="F32" s="529"/>
      <c r="G32" s="529"/>
      <c r="H32" s="529"/>
      <c r="I32" s="529"/>
    </row>
    <row r="33" spans="1:9" hidden="1" x14ac:dyDescent="0.3">
      <c r="A33" s="557">
        <f>Kulud75!A68</f>
        <v>0</v>
      </c>
      <c r="B33" s="541">
        <f>C33/12</f>
        <v>0</v>
      </c>
      <c r="C33" s="542">
        <f>Kulud75!E68</f>
        <v>0</v>
      </c>
      <c r="D33" s="526">
        <f t="shared" si="3"/>
        <v>0</v>
      </c>
      <c r="E33" s="538"/>
      <c r="F33" s="529"/>
      <c r="G33" s="529"/>
      <c r="H33" s="529"/>
      <c r="I33" s="529"/>
    </row>
    <row r="34" spans="1:9" x14ac:dyDescent="0.3">
      <c r="A34" s="538"/>
      <c r="B34" s="539"/>
      <c r="C34" s="540"/>
      <c r="D34" s="538"/>
      <c r="E34" s="538"/>
      <c r="F34" s="529"/>
      <c r="G34" s="529"/>
      <c r="H34" s="529"/>
      <c r="I34" s="529"/>
    </row>
    <row r="35" spans="1:9" x14ac:dyDescent="0.3">
      <c r="A35" s="545" t="s">
        <v>369</v>
      </c>
      <c r="B35" s="546">
        <f>B25+B29</f>
        <v>67420.624575673326</v>
      </c>
      <c r="C35" s="547">
        <f>C25+C29</f>
        <v>809047.49490807997</v>
      </c>
      <c r="D35" s="526">
        <f t="shared" ref="D35" si="4">C35/$C$35</f>
        <v>1</v>
      </c>
      <c r="E35" s="526"/>
      <c r="F35" s="527"/>
      <c r="G35" s="543">
        <f>C35/1000</f>
        <v>809.04749490808001</v>
      </c>
      <c r="H35" s="529"/>
      <c r="I35" s="529"/>
    </row>
    <row r="36" spans="1:9" x14ac:dyDescent="0.3">
      <c r="A36" s="529"/>
      <c r="B36" s="529"/>
      <c r="C36" s="529"/>
      <c r="D36" s="529"/>
      <c r="E36" s="529"/>
      <c r="F36" s="529"/>
      <c r="G36" s="529"/>
      <c r="H36" s="529"/>
      <c r="I36" s="529"/>
    </row>
    <row r="37" spans="1:9" hidden="1" x14ac:dyDescent="0.3">
      <c r="A37" s="529"/>
      <c r="B37" s="529"/>
      <c r="C37" s="529"/>
      <c r="D37" s="529"/>
      <c r="E37" s="529"/>
      <c r="F37" s="529"/>
      <c r="G37" s="529"/>
      <c r="H37" s="529"/>
      <c r="I37" s="529"/>
    </row>
    <row r="38" spans="1:9" x14ac:dyDescent="0.3">
      <c r="A38" s="558" t="s">
        <v>370</v>
      </c>
      <c r="B38" s="559">
        <f>B9-B35</f>
        <v>-23939.216550168327</v>
      </c>
      <c r="C38" s="560">
        <f>C9-C35</f>
        <v>-287270.59860201995</v>
      </c>
      <c r="D38" s="561"/>
      <c r="E38" s="560"/>
      <c r="F38" s="556"/>
      <c r="G38" s="543">
        <f>C38/1000</f>
        <v>-287.27059860201996</v>
      </c>
      <c r="H38" s="529"/>
      <c r="I38" s="529"/>
    </row>
    <row r="39" spans="1:9" x14ac:dyDescent="0.3">
      <c r="A39" s="562"/>
      <c r="B39" s="563"/>
      <c r="C39" s="564"/>
      <c r="D39" s="565"/>
      <c r="E39" s="564"/>
      <c r="F39" s="556"/>
      <c r="G39" s="529"/>
      <c r="H39" s="529"/>
      <c r="I39" s="529"/>
    </row>
    <row r="40" spans="1:9" x14ac:dyDescent="0.3">
      <c r="A40" s="528"/>
      <c r="B40" s="556"/>
      <c r="C40" s="556"/>
      <c r="D40" s="556"/>
      <c r="E40" s="556"/>
      <c r="F40" s="556"/>
      <c r="G40" s="529"/>
      <c r="H40" s="529"/>
      <c r="I40" s="529"/>
    </row>
    <row r="41" spans="1:9" x14ac:dyDescent="0.3">
      <c r="A41" s="529"/>
      <c r="B41" s="529"/>
      <c r="C41" s="529"/>
      <c r="D41" s="529"/>
      <c r="E41" s="529"/>
      <c r="F41" s="529"/>
      <c r="G41" s="529"/>
      <c r="H41" s="529"/>
      <c r="I41" s="529"/>
    </row>
    <row r="42" spans="1:9" x14ac:dyDescent="0.3">
      <c r="A42" s="566"/>
      <c r="B42" s="551"/>
      <c r="C42" s="551"/>
      <c r="D42" s="529"/>
      <c r="E42" s="529"/>
      <c r="F42" s="529"/>
      <c r="G42" s="529"/>
      <c r="H42" s="529"/>
      <c r="I42" s="529"/>
    </row>
    <row r="43" spans="1:9" x14ac:dyDescent="0.3">
      <c r="A43" s="566"/>
      <c r="B43" s="551"/>
      <c r="C43" s="551"/>
      <c r="D43" s="529"/>
      <c r="E43" s="529"/>
      <c r="F43" s="529"/>
      <c r="G43" s="529"/>
      <c r="H43" s="529"/>
      <c r="I43" s="529"/>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2:AH116"/>
  <sheetViews>
    <sheetView workbookViewId="0">
      <pane xSplit="4" ySplit="3" topLeftCell="O87" activePane="bottomRight" state="frozen"/>
      <selection pane="topRight" activeCell="E1" sqref="E1"/>
      <selection pane="bottomLeft" activeCell="A4" sqref="A4"/>
      <selection pane="bottomRight" activeCell="T54" sqref="T54"/>
    </sheetView>
  </sheetViews>
  <sheetFormatPr defaultColWidth="9.1796875" defaultRowHeight="14" outlineLevelCol="1" x14ac:dyDescent="0.3"/>
  <cols>
    <col min="1" max="1" width="32.81640625" style="375" customWidth="1"/>
    <col min="2" max="2" width="12.453125" style="375" customWidth="1"/>
    <col min="3" max="3" width="12.54296875" style="375" hidden="1" customWidth="1"/>
    <col min="4" max="4" width="14.26953125" style="376" bestFit="1" customWidth="1"/>
    <col min="5" max="5" width="8.26953125" style="375" customWidth="1"/>
    <col min="6" max="6" width="7.54296875" style="375" customWidth="1"/>
    <col min="7" max="7" width="8" style="375" customWidth="1"/>
    <col min="8" max="19" width="7.54296875" style="375" customWidth="1"/>
    <col min="20" max="20" width="10.1796875" style="375" customWidth="1"/>
    <col min="21" max="21" width="9.1796875" style="380"/>
    <col min="22" max="22" width="9.1796875" style="380" hidden="1" customWidth="1" outlineLevel="1"/>
    <col min="23" max="23" width="10.453125" style="380" hidden="1" customWidth="1" outlineLevel="1"/>
    <col min="24" max="24" width="10" style="380" hidden="1" customWidth="1" outlineLevel="1"/>
    <col min="25" max="25" width="10.7265625" style="380" hidden="1" customWidth="1" outlineLevel="1"/>
    <col min="26" max="26" width="9.1796875" style="380" collapsed="1"/>
    <col min="27" max="16384" width="9.1796875" style="380"/>
  </cols>
  <sheetData>
    <row r="2" spans="1:34" x14ac:dyDescent="0.3">
      <c r="G2" s="377">
        <f>[1]Фин_модель_база!H2</f>
        <v>1</v>
      </c>
      <c r="H2" s="378">
        <f>[1]Фин_модель_база!I2</f>
        <v>2</v>
      </c>
      <c r="I2" s="378">
        <f>[1]Фин_модель_база!J2</f>
        <v>3</v>
      </c>
      <c r="J2" s="378">
        <f>[1]Фин_модель_база!K2</f>
        <v>4</v>
      </c>
      <c r="K2" s="378">
        <f>[1]Фин_модель_база!L2</f>
        <v>5</v>
      </c>
      <c r="L2" s="378">
        <f>[1]Фин_модель_база!M2</f>
        <v>6</v>
      </c>
      <c r="M2" s="378">
        <f>[1]Фин_модель_база!N2</f>
        <v>7</v>
      </c>
      <c r="N2" s="378">
        <f>[1]Фин_модель_база!O2</f>
        <v>8</v>
      </c>
      <c r="O2" s="378">
        <f>[1]Фин_модель_база!P2</f>
        <v>9</v>
      </c>
      <c r="P2" s="378">
        <f>[1]Фин_модель_база!Q2</f>
        <v>10</v>
      </c>
      <c r="Q2" s="378">
        <f>[1]Фин_модель_база!R2</f>
        <v>11</v>
      </c>
      <c r="R2" s="378">
        <f>[1]Фин_модель_база!S2</f>
        <v>12</v>
      </c>
      <c r="S2" s="378">
        <f>[1]Фин_модель_база!T2</f>
        <v>13</v>
      </c>
      <c r="T2" s="379"/>
      <c r="V2" s="871" t="s">
        <v>252</v>
      </c>
      <c r="W2" s="871"/>
      <c r="X2" s="871"/>
      <c r="Y2" s="871"/>
    </row>
    <row r="3" spans="1:34" ht="30" customHeight="1" x14ac:dyDescent="0.3">
      <c r="A3" s="437"/>
      <c r="B3" s="872" t="s">
        <v>405</v>
      </c>
      <c r="C3" s="873"/>
      <c r="D3" s="631" t="s">
        <v>2</v>
      </c>
      <c r="E3" s="437">
        <f>'2. Tulud-kulud projektiga'!D3</f>
        <v>2024</v>
      </c>
      <c r="F3" s="437">
        <f>'2. Tulud-kulud projektiga'!E3</f>
        <v>2025</v>
      </c>
      <c r="G3" s="437">
        <f>'2. Tulud-kulud projektiga'!F3</f>
        <v>2026</v>
      </c>
      <c r="H3" s="382">
        <f>'2. Tulud-kulud projektiga'!G3</f>
        <v>2027</v>
      </c>
      <c r="I3" s="382">
        <f>'2. Tulud-kulud projektiga'!H3</f>
        <v>2028</v>
      </c>
      <c r="J3" s="382">
        <f>'2. Tulud-kulud projektiga'!I3</f>
        <v>2029</v>
      </c>
      <c r="K3" s="382">
        <f>'2. Tulud-kulud projektiga'!J3</f>
        <v>2030</v>
      </c>
      <c r="L3" s="382">
        <f>'2. Tulud-kulud projektiga'!K3</f>
        <v>2031</v>
      </c>
      <c r="M3" s="382">
        <f>'2. Tulud-kulud projektiga'!L3</f>
        <v>2032</v>
      </c>
      <c r="N3" s="382">
        <f>'2. Tulud-kulud projektiga'!M3</f>
        <v>2033</v>
      </c>
      <c r="O3" s="382">
        <f>'2. Tulud-kulud projektiga'!N3</f>
        <v>2034</v>
      </c>
      <c r="P3" s="382">
        <f>'2. Tulud-kulud projektiga'!O3</f>
        <v>2035</v>
      </c>
      <c r="Q3" s="382">
        <f>'2. Tulud-kulud projektiga'!P3</f>
        <v>2036</v>
      </c>
      <c r="R3" s="382">
        <f>'2. Tulud-kulud projektiga'!Q3</f>
        <v>2037</v>
      </c>
      <c r="S3" s="382">
        <f>'2. Tulud-kulud projektiga'!R3</f>
        <v>2038</v>
      </c>
      <c r="T3" s="383" t="s">
        <v>360</v>
      </c>
      <c r="U3" s="375"/>
      <c r="V3" s="382" t="s">
        <v>253</v>
      </c>
      <c r="W3" s="384" t="s">
        <v>254</v>
      </c>
      <c r="X3" s="382" t="s">
        <v>255</v>
      </c>
      <c r="Y3" s="382" t="s">
        <v>338</v>
      </c>
      <c r="Z3" s="375"/>
      <c r="AA3" s="375"/>
      <c r="AB3" s="375"/>
      <c r="AC3" s="375"/>
      <c r="AD3" s="375"/>
      <c r="AE3" s="375"/>
      <c r="AF3" s="375"/>
      <c r="AG3" s="375"/>
      <c r="AH3" s="375"/>
    </row>
    <row r="4" spans="1:34" x14ac:dyDescent="0.3">
      <c r="A4" s="700" t="s">
        <v>509</v>
      </c>
      <c r="B4" s="438"/>
      <c r="C4" s="438"/>
      <c r="D4" s="439"/>
      <c r="E4" s="440"/>
      <c r="F4" s="440"/>
      <c r="G4" s="440"/>
      <c r="H4" s="379"/>
      <c r="I4" s="379"/>
      <c r="J4" s="379"/>
      <c r="K4" s="379"/>
      <c r="L4" s="379"/>
      <c r="M4" s="379"/>
      <c r="N4" s="379"/>
      <c r="O4" s="379"/>
      <c r="P4" s="379"/>
      <c r="Q4" s="379"/>
      <c r="R4" s="379"/>
      <c r="S4" s="379"/>
      <c r="T4" s="385"/>
      <c r="U4" s="375"/>
      <c r="V4" s="379"/>
      <c r="W4" s="379"/>
      <c r="X4" s="379"/>
      <c r="Y4" s="379"/>
      <c r="Z4" s="375"/>
      <c r="AA4" s="375"/>
      <c r="AB4" s="375"/>
      <c r="AC4" s="375"/>
      <c r="AD4" s="375"/>
      <c r="AE4" s="375"/>
      <c r="AF4" s="375"/>
      <c r="AG4" s="375"/>
      <c r="AH4" s="375"/>
    </row>
    <row r="5" spans="1:34" hidden="1" x14ac:dyDescent="0.3">
      <c r="A5" s="438" t="s">
        <v>292</v>
      </c>
      <c r="B5" s="438"/>
      <c r="C5" s="438"/>
      <c r="D5" s="439"/>
      <c r="E5" s="440"/>
      <c r="F5" s="440"/>
      <c r="G5" s="440"/>
      <c r="H5" s="379"/>
      <c r="I5" s="379"/>
      <c r="J5" s="379"/>
      <c r="K5" s="379"/>
      <c r="L5" s="379"/>
      <c r="M5" s="379"/>
      <c r="N5" s="379"/>
      <c r="O5" s="379"/>
      <c r="P5" s="379"/>
      <c r="Q5" s="379"/>
      <c r="R5" s="379"/>
      <c r="S5" s="379"/>
      <c r="T5" s="385"/>
      <c r="U5" s="375"/>
      <c r="V5" s="379"/>
      <c r="W5" s="379"/>
      <c r="X5" s="379"/>
      <c r="Y5" s="379"/>
      <c r="Z5" s="375"/>
      <c r="AA5" s="375"/>
      <c r="AB5" s="375"/>
      <c r="AC5" s="375"/>
      <c r="AD5" s="375"/>
      <c r="AE5" s="375"/>
      <c r="AF5" s="375"/>
      <c r="AG5" s="375"/>
      <c r="AH5" s="375"/>
    </row>
    <row r="6" spans="1:34" hidden="1" x14ac:dyDescent="0.3">
      <c r="A6" s="442" t="s">
        <v>510</v>
      </c>
      <c r="B6" s="438"/>
      <c r="C6" s="438"/>
      <c r="D6" s="439"/>
      <c r="E6" s="440"/>
      <c r="F6" s="440"/>
      <c r="G6" s="632"/>
      <c r="H6" s="632"/>
      <c r="I6" s="632"/>
      <c r="J6" s="632"/>
      <c r="K6" s="632"/>
      <c r="L6" s="632"/>
      <c r="M6" s="632"/>
      <c r="N6" s="632"/>
      <c r="O6" s="632"/>
      <c r="P6" s="632"/>
      <c r="Q6" s="632"/>
      <c r="R6" s="632"/>
      <c r="S6" s="632"/>
      <c r="T6" s="633"/>
      <c r="U6" s="375"/>
      <c r="V6" s="387">
        <f>I6</f>
        <v>0</v>
      </c>
      <c r="W6" s="387">
        <f>K6</f>
        <v>0</v>
      </c>
      <c r="X6" s="387">
        <f>P6</f>
        <v>0</v>
      </c>
      <c r="Y6" s="387">
        <f>S6</f>
        <v>0</v>
      </c>
      <c r="Z6" s="375"/>
      <c r="AA6" s="375"/>
      <c r="AB6" s="375"/>
      <c r="AC6" s="375"/>
      <c r="AD6" s="375"/>
      <c r="AE6" s="375"/>
      <c r="AF6" s="375"/>
      <c r="AG6" s="375"/>
      <c r="AH6" s="375"/>
    </row>
    <row r="7" spans="1:34" hidden="1" x14ac:dyDescent="0.3">
      <c r="A7" s="488" t="s">
        <v>511</v>
      </c>
      <c r="B7" s="440"/>
      <c r="C7" s="440"/>
      <c r="D7" s="439"/>
      <c r="E7" s="443"/>
      <c r="F7" s="444"/>
      <c r="G7" s="444"/>
      <c r="H7" s="444"/>
      <c r="I7" s="444"/>
      <c r="J7" s="444"/>
      <c r="K7" s="444"/>
      <c r="L7" s="444"/>
      <c r="M7" s="444"/>
      <c r="N7" s="444"/>
      <c r="O7" s="444"/>
      <c r="P7" s="444"/>
      <c r="Q7" s="444"/>
      <c r="R7" s="444"/>
      <c r="S7" s="444"/>
      <c r="T7" s="386"/>
      <c r="U7" s="375"/>
      <c r="V7" s="387"/>
      <c r="W7" s="387"/>
      <c r="X7" s="387"/>
      <c r="Y7" s="387"/>
      <c r="Z7" s="375"/>
      <c r="AA7" s="375"/>
      <c r="AB7" s="375"/>
      <c r="AC7" s="375"/>
      <c r="AD7" s="375"/>
      <c r="AE7" s="375"/>
      <c r="AF7" s="375"/>
      <c r="AG7" s="375"/>
      <c r="AH7" s="375"/>
    </row>
    <row r="8" spans="1:34" hidden="1" x14ac:dyDescent="0.3">
      <c r="A8" s="488" t="s">
        <v>512</v>
      </c>
      <c r="B8" s="449"/>
      <c r="C8" s="440"/>
      <c r="D8" s="439"/>
      <c r="E8" s="443"/>
      <c r="F8" s="444"/>
      <c r="G8" s="598"/>
      <c r="H8" s="597"/>
      <c r="I8" s="597"/>
      <c r="J8" s="597"/>
      <c r="K8" s="597"/>
      <c r="L8" s="597"/>
      <c r="M8" s="597"/>
      <c r="N8" s="597"/>
      <c r="O8" s="597"/>
      <c r="P8" s="597"/>
      <c r="Q8" s="597"/>
      <c r="R8" s="597"/>
      <c r="S8" s="597"/>
      <c r="T8" s="379"/>
      <c r="U8" s="375"/>
      <c r="V8" s="387"/>
      <c r="W8" s="387"/>
      <c r="X8" s="387"/>
      <c r="Y8" s="387"/>
      <c r="Z8" s="375"/>
      <c r="AA8" s="375"/>
      <c r="AB8" s="375"/>
      <c r="AC8" s="375"/>
      <c r="AD8" s="375"/>
      <c r="AE8" s="375"/>
      <c r="AF8" s="375"/>
      <c r="AG8" s="375"/>
      <c r="AH8" s="375"/>
    </row>
    <row r="9" spans="1:34" hidden="1" x14ac:dyDescent="0.3">
      <c r="A9" s="488"/>
      <c r="B9" s="449"/>
      <c r="C9" s="440"/>
      <c r="D9" s="439"/>
      <c r="E9" s="443"/>
      <c r="F9" s="444"/>
      <c r="G9" s="450"/>
      <c r="H9" s="450"/>
      <c r="I9" s="450"/>
      <c r="J9" s="450"/>
      <c r="K9" s="450"/>
      <c r="L9" s="450"/>
      <c r="M9" s="450"/>
      <c r="N9" s="450"/>
      <c r="O9" s="450"/>
      <c r="P9" s="450"/>
      <c r="Q9" s="450"/>
      <c r="R9" s="450"/>
      <c r="S9" s="443"/>
      <c r="T9" s="387"/>
      <c r="U9" s="375"/>
      <c r="V9" s="387"/>
      <c r="W9" s="387"/>
      <c r="X9" s="387"/>
      <c r="Y9" s="387"/>
      <c r="Z9" s="375"/>
      <c r="AA9" s="375"/>
      <c r="AB9" s="375"/>
      <c r="AC9" s="375"/>
      <c r="AD9" s="375"/>
      <c r="AE9" s="375"/>
      <c r="AF9" s="375"/>
      <c r="AG9" s="375"/>
      <c r="AH9" s="375"/>
    </row>
    <row r="10" spans="1:34" ht="28" hidden="1" x14ac:dyDescent="0.3">
      <c r="A10" s="634" t="s">
        <v>513</v>
      </c>
      <c r="B10" s="440"/>
      <c r="C10" s="440"/>
      <c r="D10" s="439"/>
      <c r="E10" s="443"/>
      <c r="F10" s="443"/>
      <c r="G10" s="593"/>
      <c r="H10" s="593"/>
      <c r="I10" s="593"/>
      <c r="J10" s="593"/>
      <c r="K10" s="593"/>
      <c r="L10" s="593"/>
      <c r="M10" s="593"/>
      <c r="N10" s="593"/>
      <c r="O10" s="593"/>
      <c r="P10" s="593"/>
      <c r="Q10" s="593"/>
      <c r="R10" s="593"/>
      <c r="S10" s="593"/>
      <c r="T10" s="387"/>
      <c r="U10" s="375"/>
      <c r="V10" s="387">
        <f>I10</f>
        <v>0</v>
      </c>
      <c r="W10" s="387">
        <f>K10</f>
        <v>0</v>
      </c>
      <c r="X10" s="387">
        <f>P10</f>
        <v>0</v>
      </c>
      <c r="Y10" s="387">
        <f>S10</f>
        <v>0</v>
      </c>
      <c r="Z10" s="375"/>
      <c r="AA10" s="375"/>
      <c r="AB10" s="375"/>
      <c r="AC10" s="375"/>
      <c r="AD10" s="375"/>
      <c r="AE10" s="375"/>
      <c r="AF10" s="375"/>
      <c r="AG10" s="375"/>
      <c r="AH10" s="375"/>
    </row>
    <row r="11" spans="1:34" hidden="1" x14ac:dyDescent="0.3">
      <c r="A11" s="488" t="s">
        <v>339</v>
      </c>
      <c r="B11" s="440"/>
      <c r="C11" s="440"/>
      <c r="D11" s="439"/>
      <c r="E11" s="443"/>
      <c r="F11" s="443"/>
      <c r="G11" s="593"/>
      <c r="H11" s="593"/>
      <c r="I11" s="593"/>
      <c r="J11" s="593"/>
      <c r="K11" s="593"/>
      <c r="L11" s="593"/>
      <c r="M11" s="593"/>
      <c r="N11" s="593"/>
      <c r="O11" s="593"/>
      <c r="P11" s="593"/>
      <c r="Q11" s="593"/>
      <c r="R11" s="593"/>
      <c r="S11" s="593"/>
      <c r="T11" s="387"/>
      <c r="U11" s="375"/>
      <c r="V11" s="387"/>
      <c r="W11" s="387"/>
      <c r="X11" s="387"/>
      <c r="Y11" s="387"/>
      <c r="Z11" s="375"/>
      <c r="AA11" s="375"/>
      <c r="AB11" s="375"/>
      <c r="AC11" s="375"/>
      <c r="AD11" s="375"/>
      <c r="AE11" s="375"/>
      <c r="AF11" s="375"/>
      <c r="AG11" s="375"/>
      <c r="AH11" s="375"/>
    </row>
    <row r="12" spans="1:34" hidden="1" x14ac:dyDescent="0.3">
      <c r="A12" s="488" t="s">
        <v>340</v>
      </c>
      <c r="B12" s="440"/>
      <c r="C12" s="440"/>
      <c r="D12" s="439"/>
      <c r="E12" s="443"/>
      <c r="F12" s="443"/>
      <c r="G12" s="593"/>
      <c r="H12" s="593"/>
      <c r="I12" s="593"/>
      <c r="J12" s="593"/>
      <c r="K12" s="593"/>
      <c r="L12" s="593"/>
      <c r="M12" s="593"/>
      <c r="N12" s="593"/>
      <c r="O12" s="593"/>
      <c r="P12" s="593"/>
      <c r="Q12" s="593"/>
      <c r="R12" s="593"/>
      <c r="S12" s="593"/>
      <c r="T12" s="387"/>
      <c r="U12" s="375"/>
      <c r="V12" s="387">
        <f t="shared" ref="V12:V16" si="0">I12</f>
        <v>0</v>
      </c>
      <c r="W12" s="387">
        <f t="shared" ref="W12:W16" si="1">K12</f>
        <v>0</v>
      </c>
      <c r="X12" s="387">
        <f t="shared" ref="X12:X16" si="2">P12</f>
        <v>0</v>
      </c>
      <c r="Y12" s="387">
        <f t="shared" ref="Y12:Y16" si="3">S12</f>
        <v>0</v>
      </c>
      <c r="Z12" s="375"/>
      <c r="AA12" s="375"/>
      <c r="AB12" s="375"/>
      <c r="AC12" s="375"/>
      <c r="AD12" s="375"/>
      <c r="AE12" s="375"/>
      <c r="AF12" s="375"/>
      <c r="AG12" s="375"/>
      <c r="AH12" s="375"/>
    </row>
    <row r="13" spans="1:34" hidden="1" x14ac:dyDescent="0.3">
      <c r="A13" s="488" t="s">
        <v>341</v>
      </c>
      <c r="B13" s="440"/>
      <c r="C13" s="440"/>
      <c r="D13" s="439"/>
      <c r="E13" s="443"/>
      <c r="F13" s="443"/>
      <c r="G13" s="593"/>
      <c r="H13" s="593"/>
      <c r="I13" s="593"/>
      <c r="J13" s="593"/>
      <c r="K13" s="593"/>
      <c r="L13" s="593"/>
      <c r="M13" s="593"/>
      <c r="N13" s="593"/>
      <c r="O13" s="593"/>
      <c r="P13" s="593"/>
      <c r="Q13" s="593"/>
      <c r="R13" s="593"/>
      <c r="S13" s="593"/>
      <c r="T13" s="387"/>
      <c r="U13" s="375"/>
      <c r="V13" s="387">
        <f t="shared" si="0"/>
        <v>0</v>
      </c>
      <c r="W13" s="387">
        <f t="shared" si="1"/>
        <v>0</v>
      </c>
      <c r="X13" s="387">
        <f t="shared" si="2"/>
        <v>0</v>
      </c>
      <c r="Y13" s="387">
        <f t="shared" si="3"/>
        <v>0</v>
      </c>
      <c r="Z13" s="375"/>
      <c r="AA13" s="375"/>
      <c r="AB13" s="375"/>
      <c r="AC13" s="375"/>
      <c r="AD13" s="375"/>
      <c r="AE13" s="375"/>
      <c r="AF13" s="375"/>
      <c r="AG13" s="375"/>
      <c r="AH13" s="375"/>
    </row>
    <row r="14" spans="1:34" hidden="1" x14ac:dyDescent="0.3">
      <c r="A14" s="488" t="s">
        <v>342</v>
      </c>
      <c r="B14" s="440"/>
      <c r="C14" s="440"/>
      <c r="D14" s="439"/>
      <c r="E14" s="443"/>
      <c r="F14" s="443"/>
      <c r="G14" s="593"/>
      <c r="H14" s="593"/>
      <c r="I14" s="593"/>
      <c r="J14" s="593"/>
      <c r="K14" s="593"/>
      <c r="L14" s="593"/>
      <c r="M14" s="593"/>
      <c r="N14" s="593"/>
      <c r="O14" s="593"/>
      <c r="P14" s="593"/>
      <c r="Q14" s="593"/>
      <c r="R14" s="593"/>
      <c r="S14" s="593"/>
      <c r="T14" s="387"/>
      <c r="U14" s="375"/>
      <c r="V14" s="387">
        <f t="shared" si="0"/>
        <v>0</v>
      </c>
      <c r="W14" s="387">
        <f t="shared" si="1"/>
        <v>0</v>
      </c>
      <c r="X14" s="387">
        <f t="shared" si="2"/>
        <v>0</v>
      </c>
      <c r="Y14" s="387">
        <f t="shared" si="3"/>
        <v>0</v>
      </c>
      <c r="Z14" s="375"/>
      <c r="AA14" s="375"/>
      <c r="AB14" s="375"/>
      <c r="AC14" s="375"/>
      <c r="AD14" s="375"/>
      <c r="AE14" s="375"/>
      <c r="AF14" s="375"/>
      <c r="AG14" s="375"/>
      <c r="AH14" s="375"/>
    </row>
    <row r="15" spans="1:34" hidden="1" x14ac:dyDescent="0.3">
      <c r="A15" s="488" t="s">
        <v>343</v>
      </c>
      <c r="B15" s="440"/>
      <c r="C15" s="440"/>
      <c r="D15" s="439"/>
      <c r="E15" s="443"/>
      <c r="F15" s="443"/>
      <c r="G15" s="593"/>
      <c r="H15" s="593"/>
      <c r="I15" s="593"/>
      <c r="J15" s="593"/>
      <c r="K15" s="593"/>
      <c r="L15" s="593"/>
      <c r="M15" s="593"/>
      <c r="N15" s="593"/>
      <c r="O15" s="593"/>
      <c r="P15" s="593"/>
      <c r="Q15" s="593"/>
      <c r="R15" s="593"/>
      <c r="S15" s="593"/>
      <c r="T15" s="387"/>
      <c r="U15" s="375"/>
      <c r="V15" s="387">
        <f t="shared" si="0"/>
        <v>0</v>
      </c>
      <c r="W15" s="387">
        <f t="shared" si="1"/>
        <v>0</v>
      </c>
      <c r="X15" s="387">
        <f t="shared" si="2"/>
        <v>0</v>
      </c>
      <c r="Y15" s="387">
        <f t="shared" si="3"/>
        <v>0</v>
      </c>
      <c r="Z15" s="375"/>
      <c r="AA15" s="375"/>
      <c r="AB15" s="375"/>
      <c r="AC15" s="375"/>
      <c r="AD15" s="375"/>
      <c r="AE15" s="375"/>
      <c r="AF15" s="375"/>
      <c r="AG15" s="375"/>
      <c r="AH15" s="375"/>
    </row>
    <row r="16" spans="1:34" hidden="1" x14ac:dyDescent="0.3">
      <c r="A16" s="488" t="s">
        <v>344</v>
      </c>
      <c r="B16" s="440"/>
      <c r="C16" s="440"/>
      <c r="D16" s="439"/>
      <c r="E16" s="443"/>
      <c r="F16" s="443"/>
      <c r="G16" s="593"/>
      <c r="H16" s="593"/>
      <c r="I16" s="593"/>
      <c r="J16" s="593"/>
      <c r="K16" s="593"/>
      <c r="L16" s="593"/>
      <c r="M16" s="593"/>
      <c r="N16" s="593"/>
      <c r="O16" s="593"/>
      <c r="P16" s="593"/>
      <c r="Q16" s="593"/>
      <c r="R16" s="593"/>
      <c r="S16" s="593"/>
      <c r="T16" s="387"/>
      <c r="U16" s="375"/>
      <c r="V16" s="387">
        <f t="shared" si="0"/>
        <v>0</v>
      </c>
      <c r="W16" s="387">
        <f t="shared" si="1"/>
        <v>0</v>
      </c>
      <c r="X16" s="387">
        <f t="shared" si="2"/>
        <v>0</v>
      </c>
      <c r="Y16" s="387">
        <f t="shared" si="3"/>
        <v>0</v>
      </c>
      <c r="Z16" s="375"/>
      <c r="AA16" s="375"/>
      <c r="AB16" s="375"/>
      <c r="AC16" s="375"/>
      <c r="AD16" s="375"/>
      <c r="AE16" s="375"/>
      <c r="AF16" s="375"/>
      <c r="AG16" s="375"/>
      <c r="AH16" s="375"/>
    </row>
    <row r="17" spans="1:34" hidden="1" x14ac:dyDescent="0.3">
      <c r="A17" s="488"/>
      <c r="B17" s="440"/>
      <c r="C17" s="440"/>
      <c r="D17" s="439"/>
      <c r="E17" s="443"/>
      <c r="F17" s="443"/>
      <c r="G17" s="593"/>
      <c r="H17" s="593"/>
      <c r="I17" s="593"/>
      <c r="J17" s="593"/>
      <c r="K17" s="593"/>
      <c r="L17" s="593"/>
      <c r="M17" s="593"/>
      <c r="N17" s="593"/>
      <c r="O17" s="593"/>
      <c r="P17" s="593"/>
      <c r="Q17" s="593"/>
      <c r="R17" s="593"/>
      <c r="S17" s="593"/>
      <c r="T17" s="387"/>
      <c r="U17" s="375"/>
      <c r="V17" s="387"/>
      <c r="W17" s="387"/>
      <c r="X17" s="387"/>
      <c r="Y17" s="387"/>
      <c r="Z17" s="375"/>
      <c r="AA17" s="375"/>
      <c r="AB17" s="375"/>
      <c r="AC17" s="375"/>
      <c r="AD17" s="375"/>
      <c r="AE17" s="375"/>
      <c r="AF17" s="375"/>
      <c r="AG17" s="375"/>
      <c r="AH17" s="375"/>
    </row>
    <row r="18" spans="1:34" hidden="1" x14ac:dyDescent="0.3">
      <c r="A18" s="442" t="s">
        <v>397</v>
      </c>
      <c r="B18" s="445"/>
      <c r="C18" s="446"/>
      <c r="D18" s="439"/>
      <c r="E18" s="448"/>
      <c r="F18" s="448"/>
      <c r="G18" s="448"/>
      <c r="H18" s="448"/>
      <c r="I18" s="448"/>
      <c r="J18" s="448"/>
      <c r="K18" s="448"/>
      <c r="L18" s="448"/>
      <c r="M18" s="448"/>
      <c r="N18" s="448"/>
      <c r="O18" s="448"/>
      <c r="P18" s="448"/>
      <c r="Q18" s="448"/>
      <c r="R18" s="448"/>
      <c r="S18" s="448"/>
      <c r="T18" s="390"/>
      <c r="U18" s="375"/>
      <c r="V18" s="448">
        <f>I18</f>
        <v>0</v>
      </c>
      <c r="W18" s="448">
        <f>K18</f>
        <v>0</v>
      </c>
      <c r="X18" s="448">
        <f>P18</f>
        <v>0</v>
      </c>
      <c r="Y18" s="448">
        <f>S18</f>
        <v>0</v>
      </c>
      <c r="Z18" s="375"/>
      <c r="AA18" s="375"/>
      <c r="AB18" s="375"/>
      <c r="AC18" s="375"/>
      <c r="AD18" s="375"/>
      <c r="AE18" s="375"/>
      <c r="AF18" s="375"/>
      <c r="AG18" s="375"/>
      <c r="AH18" s="375"/>
    </row>
    <row r="19" spans="1:34" hidden="1" x14ac:dyDescent="0.3">
      <c r="A19" s="442" t="s">
        <v>398</v>
      </c>
      <c r="B19" s="449"/>
      <c r="C19" s="446"/>
      <c r="D19" s="439"/>
      <c r="E19" s="447"/>
      <c r="F19" s="447"/>
      <c r="G19" s="448"/>
      <c r="H19" s="448"/>
      <c r="I19" s="448"/>
      <c r="J19" s="448"/>
      <c r="K19" s="448"/>
      <c r="L19" s="448"/>
      <c r="M19" s="448"/>
      <c r="N19" s="448"/>
      <c r="O19" s="448"/>
      <c r="P19" s="448"/>
      <c r="Q19" s="448"/>
      <c r="R19" s="448"/>
      <c r="S19" s="448"/>
      <c r="T19" s="390"/>
      <c r="U19" s="375"/>
      <c r="V19" s="390">
        <f>SUM($G19:I19)</f>
        <v>0</v>
      </c>
      <c r="W19" s="390">
        <f>SUM($G19:K19)</f>
        <v>0</v>
      </c>
      <c r="X19" s="390">
        <f>SUM($G19:P19)</f>
        <v>0</v>
      </c>
      <c r="Y19" s="390">
        <f>SUM($G19:S19)</f>
        <v>0</v>
      </c>
      <c r="Z19" s="375"/>
      <c r="AA19" s="375"/>
      <c r="AB19" s="375"/>
      <c r="AC19" s="375"/>
      <c r="AD19" s="375"/>
      <c r="AE19" s="375"/>
      <c r="AF19" s="375"/>
      <c r="AG19" s="375"/>
      <c r="AH19" s="375"/>
    </row>
    <row r="20" spans="1:34" hidden="1" x14ac:dyDescent="0.3">
      <c r="A20" s="442" t="s">
        <v>396</v>
      </c>
      <c r="B20" s="445"/>
      <c r="C20" s="446"/>
      <c r="D20" s="439"/>
      <c r="E20" s="447"/>
      <c r="F20" s="447"/>
      <c r="G20" s="447"/>
      <c r="H20" s="447"/>
      <c r="I20" s="447"/>
      <c r="J20" s="447"/>
      <c r="K20" s="447"/>
      <c r="L20" s="447"/>
      <c r="M20" s="447"/>
      <c r="N20" s="447"/>
      <c r="O20" s="447"/>
      <c r="P20" s="447"/>
      <c r="Q20" s="447"/>
      <c r="R20" s="447"/>
      <c r="S20" s="447"/>
      <c r="T20" s="390"/>
      <c r="U20" s="375"/>
      <c r="V20" s="390">
        <f>SUM($G20:I20)</f>
        <v>0</v>
      </c>
      <c r="W20" s="390">
        <f>SUM($G20:K20)</f>
        <v>0</v>
      </c>
      <c r="X20" s="390">
        <f>SUM($G20:P20)</f>
        <v>0</v>
      </c>
      <c r="Y20" s="390">
        <f>SUM($G20:S20)</f>
        <v>0</v>
      </c>
      <c r="Z20" s="375"/>
      <c r="AA20" s="375"/>
      <c r="AB20" s="375"/>
      <c r="AC20" s="375"/>
      <c r="AD20" s="375"/>
      <c r="AE20" s="375"/>
      <c r="AF20" s="375"/>
      <c r="AG20" s="375"/>
      <c r="AH20" s="375"/>
    </row>
    <row r="21" spans="1:34" hidden="1" x14ac:dyDescent="0.3">
      <c r="A21" s="457" t="s">
        <v>399</v>
      </c>
      <c r="B21" s="440"/>
      <c r="C21" s="440"/>
      <c r="D21" s="439"/>
      <c r="E21" s="445"/>
      <c r="F21" s="445"/>
      <c r="G21" s="445"/>
      <c r="H21" s="445"/>
      <c r="I21" s="445"/>
      <c r="J21" s="445"/>
      <c r="K21" s="445"/>
      <c r="L21" s="445"/>
      <c r="M21" s="445"/>
      <c r="N21" s="445"/>
      <c r="O21" s="445"/>
      <c r="P21" s="445"/>
      <c r="Q21" s="445"/>
      <c r="R21" s="445"/>
      <c r="S21" s="445"/>
      <c r="T21" s="599"/>
      <c r="U21" s="375"/>
      <c r="V21" s="387">
        <f>I21</f>
        <v>0</v>
      </c>
      <c r="W21" s="387">
        <f>K21</f>
        <v>0</v>
      </c>
      <c r="X21" s="387">
        <f>P21</f>
        <v>0</v>
      </c>
      <c r="Y21" s="387">
        <f>S21</f>
        <v>0</v>
      </c>
      <c r="Z21" s="375"/>
      <c r="AA21" s="375"/>
      <c r="AB21" s="375"/>
      <c r="AC21" s="375"/>
      <c r="AD21" s="375"/>
      <c r="AE21" s="375"/>
      <c r="AF21" s="375"/>
      <c r="AG21" s="375"/>
      <c r="AH21" s="375"/>
    </row>
    <row r="22" spans="1:34" hidden="1" x14ac:dyDescent="0.3">
      <c r="A22" s="442" t="s">
        <v>400</v>
      </c>
      <c r="B22" s="450"/>
      <c r="C22" s="446"/>
      <c r="D22" s="439"/>
      <c r="E22" s="447"/>
      <c r="F22" s="447"/>
      <c r="G22" s="447"/>
      <c r="H22" s="447"/>
      <c r="I22" s="447"/>
      <c r="J22" s="447"/>
      <c r="K22" s="447"/>
      <c r="L22" s="447"/>
      <c r="M22" s="447"/>
      <c r="N22" s="447"/>
      <c r="O22" s="447"/>
      <c r="P22" s="447"/>
      <c r="Q22" s="447"/>
      <c r="R22" s="447"/>
      <c r="S22" s="447"/>
      <c r="T22" s="390"/>
      <c r="U22" s="375"/>
      <c r="V22" s="390">
        <f>SUM($G22:I22)</f>
        <v>0</v>
      </c>
      <c r="W22" s="390">
        <f>SUM($G22:K22)</f>
        <v>0</v>
      </c>
      <c r="X22" s="390">
        <f>SUM($G22:P22)</f>
        <v>0</v>
      </c>
      <c r="Y22" s="390">
        <f>SUM($G22:S22)</f>
        <v>0</v>
      </c>
      <c r="Z22" s="375"/>
      <c r="AA22" s="375"/>
      <c r="AB22" s="375"/>
      <c r="AC22" s="375"/>
      <c r="AD22" s="375"/>
      <c r="AE22" s="375"/>
      <c r="AF22" s="375"/>
      <c r="AG22" s="375"/>
      <c r="AH22" s="375"/>
    </row>
    <row r="23" spans="1:34" hidden="1" x14ac:dyDescent="0.3">
      <c r="A23" s="442" t="s">
        <v>401</v>
      </c>
      <c r="B23" s="451"/>
      <c r="C23" s="451"/>
      <c r="D23" s="439"/>
      <c r="E23" s="452"/>
      <c r="F23" s="452"/>
      <c r="G23" s="452"/>
      <c r="H23" s="391"/>
      <c r="I23" s="391"/>
      <c r="J23" s="391"/>
      <c r="K23" s="391"/>
      <c r="L23" s="391"/>
      <c r="M23" s="391"/>
      <c r="N23" s="391"/>
      <c r="O23" s="391"/>
      <c r="P23" s="391"/>
      <c r="Q23" s="391"/>
      <c r="R23" s="391"/>
      <c r="S23" s="391"/>
      <c r="T23" s="390"/>
      <c r="U23" s="375"/>
      <c r="V23" s="390">
        <f>SUM($G23:I23)</f>
        <v>0</v>
      </c>
      <c r="W23" s="390">
        <f>SUM($G23:K23)</f>
        <v>0</v>
      </c>
      <c r="X23" s="390">
        <f>SUM($G23:P23)</f>
        <v>0</v>
      </c>
      <c r="Y23" s="390">
        <f>SUM($G23:S23)</f>
        <v>0</v>
      </c>
      <c r="Z23" s="375"/>
      <c r="AA23" s="375"/>
      <c r="AB23" s="375"/>
      <c r="AC23" s="375"/>
      <c r="AD23" s="375"/>
      <c r="AE23" s="375"/>
      <c r="AF23" s="375"/>
      <c r="AG23" s="375"/>
      <c r="AH23" s="375"/>
    </row>
    <row r="24" spans="1:34" hidden="1" x14ac:dyDescent="0.3">
      <c r="A24" s="442" t="s">
        <v>402</v>
      </c>
      <c r="B24" s="449"/>
      <c r="C24" s="449"/>
      <c r="D24" s="439"/>
      <c r="E24" s="452"/>
      <c r="F24" s="452"/>
      <c r="G24" s="452"/>
      <c r="H24" s="391"/>
      <c r="I24" s="391"/>
      <c r="J24" s="391"/>
      <c r="K24" s="391"/>
      <c r="L24" s="391"/>
      <c r="M24" s="391"/>
      <c r="N24" s="391"/>
      <c r="O24" s="391"/>
      <c r="P24" s="391"/>
      <c r="Q24" s="391"/>
      <c r="R24" s="391"/>
      <c r="S24" s="391"/>
      <c r="T24" s="390"/>
      <c r="U24" s="375"/>
      <c r="V24" s="390">
        <f>SUM($G24:I24)</f>
        <v>0</v>
      </c>
      <c r="W24" s="390">
        <f>SUM($G24:K24)</f>
        <v>0</v>
      </c>
      <c r="X24" s="390">
        <f>SUM($G24:P24)</f>
        <v>0</v>
      </c>
      <c r="Y24" s="390">
        <f>SUM($G24:S24)</f>
        <v>0</v>
      </c>
      <c r="Z24" s="375"/>
      <c r="AA24" s="375"/>
      <c r="AB24" s="375"/>
      <c r="AC24" s="375"/>
      <c r="AD24" s="375"/>
      <c r="AE24" s="375"/>
      <c r="AF24" s="375"/>
      <c r="AG24" s="375"/>
      <c r="AH24" s="375"/>
    </row>
    <row r="25" spans="1:34" hidden="1" x14ac:dyDescent="0.3">
      <c r="A25" s="453" t="s">
        <v>403</v>
      </c>
      <c r="B25" s="453"/>
      <c r="C25" s="453"/>
      <c r="D25" s="439"/>
      <c r="E25" s="452"/>
      <c r="F25" s="452"/>
      <c r="G25" s="452"/>
      <c r="H25" s="391"/>
      <c r="I25" s="391"/>
      <c r="J25" s="391"/>
      <c r="K25" s="391"/>
      <c r="L25" s="391"/>
      <c r="M25" s="391"/>
      <c r="N25" s="391"/>
      <c r="O25" s="391"/>
      <c r="P25" s="391"/>
      <c r="Q25" s="391"/>
      <c r="R25" s="391"/>
      <c r="S25" s="391"/>
      <c r="T25" s="390"/>
      <c r="U25" s="375"/>
      <c r="V25" s="390">
        <f>SUM($G25:I25)</f>
        <v>0</v>
      </c>
      <c r="W25" s="390">
        <f>SUM($G25:K25)</f>
        <v>0</v>
      </c>
      <c r="X25" s="390">
        <f>SUM($G25:P25)</f>
        <v>0</v>
      </c>
      <c r="Y25" s="390">
        <f>SUM($G25:S25)</f>
        <v>0</v>
      </c>
      <c r="Z25" s="375"/>
      <c r="AA25" s="375"/>
      <c r="AB25" s="375"/>
      <c r="AC25" s="375"/>
      <c r="AD25" s="375"/>
      <c r="AE25" s="375"/>
      <c r="AF25" s="375"/>
      <c r="AG25" s="375"/>
      <c r="AH25" s="375"/>
    </row>
    <row r="26" spans="1:34" hidden="1" x14ac:dyDescent="0.3">
      <c r="A26" s="453" t="s">
        <v>391</v>
      </c>
      <c r="B26" s="454"/>
      <c r="C26" s="455"/>
      <c r="D26" s="439"/>
      <c r="E26" s="452"/>
      <c r="F26" s="452"/>
      <c r="G26" s="452"/>
      <c r="H26" s="391"/>
      <c r="I26" s="391"/>
      <c r="J26" s="391"/>
      <c r="K26" s="391"/>
      <c r="L26" s="391"/>
      <c r="M26" s="391"/>
      <c r="N26" s="391"/>
      <c r="O26" s="391"/>
      <c r="P26" s="391"/>
      <c r="Q26" s="391"/>
      <c r="R26" s="391"/>
      <c r="S26" s="391"/>
      <c r="T26" s="390"/>
      <c r="U26" s="375"/>
      <c r="V26" s="390">
        <f>SUM($G26:I26)</f>
        <v>0</v>
      </c>
      <c r="W26" s="390">
        <f>SUM($G26:K26)</f>
        <v>0</v>
      </c>
      <c r="X26" s="390">
        <f>SUM($G26:P26)</f>
        <v>0</v>
      </c>
      <c r="Y26" s="390">
        <f>SUM($G26:S26)</f>
        <v>0</v>
      </c>
      <c r="Z26" s="375"/>
      <c r="AA26" s="375"/>
      <c r="AB26" s="375"/>
      <c r="AC26" s="375"/>
      <c r="AD26" s="375"/>
      <c r="AE26" s="375"/>
      <c r="AF26" s="375"/>
      <c r="AG26" s="375"/>
      <c r="AH26" s="375"/>
    </row>
    <row r="27" spans="1:34" hidden="1" x14ac:dyDescent="0.3">
      <c r="A27" s="442" t="s">
        <v>404</v>
      </c>
      <c r="B27" s="449"/>
      <c r="C27" s="449"/>
      <c r="D27" s="439"/>
      <c r="E27" s="452"/>
      <c r="F27" s="452"/>
      <c r="G27" s="452"/>
      <c r="H27" s="452"/>
      <c r="I27" s="452"/>
      <c r="J27" s="452"/>
      <c r="K27" s="452"/>
      <c r="L27" s="452"/>
      <c r="M27" s="452"/>
      <c r="N27" s="452"/>
      <c r="O27" s="452"/>
      <c r="P27" s="452"/>
      <c r="Q27" s="452"/>
      <c r="R27" s="452"/>
      <c r="S27" s="452"/>
      <c r="T27" s="390"/>
      <c r="U27" s="375"/>
      <c r="V27" s="390">
        <f>SUM($G27:I27)</f>
        <v>0</v>
      </c>
      <c r="W27" s="390">
        <f>SUM($G27:K27)</f>
        <v>0</v>
      </c>
      <c r="X27" s="390">
        <f>SUM($G27:P27)</f>
        <v>0</v>
      </c>
      <c r="Y27" s="390">
        <f>SUM($G27:S27)</f>
        <v>0</v>
      </c>
      <c r="Z27" s="375"/>
      <c r="AA27" s="375"/>
      <c r="AB27" s="375"/>
      <c r="AC27" s="375"/>
      <c r="AD27" s="375"/>
      <c r="AE27" s="375"/>
      <c r="AF27" s="375"/>
      <c r="AG27" s="375"/>
      <c r="AH27" s="375"/>
    </row>
    <row r="28" spans="1:34" ht="28" hidden="1" x14ac:dyDescent="0.3">
      <c r="A28" s="457" t="s">
        <v>514</v>
      </c>
      <c r="B28" s="456"/>
      <c r="C28" s="456"/>
      <c r="D28" s="439"/>
      <c r="E28" s="452"/>
      <c r="F28" s="452"/>
      <c r="G28" s="452"/>
      <c r="H28" s="452"/>
      <c r="I28" s="452"/>
      <c r="J28" s="452"/>
      <c r="K28" s="452"/>
      <c r="L28" s="452"/>
      <c r="M28" s="452"/>
      <c r="N28" s="452"/>
      <c r="O28" s="452"/>
      <c r="P28" s="452"/>
      <c r="Q28" s="452"/>
      <c r="R28" s="452"/>
      <c r="S28" s="452"/>
      <c r="T28" s="390"/>
      <c r="U28" s="375"/>
      <c r="V28" s="390">
        <f>SUM($G28:I28)</f>
        <v>0</v>
      </c>
      <c r="W28" s="390">
        <f>SUM($G28:K28)</f>
        <v>0</v>
      </c>
      <c r="X28" s="390">
        <f>SUM($G28:P28)</f>
        <v>0</v>
      </c>
      <c r="Y28" s="390">
        <f>SUM($G28:S28)</f>
        <v>0</v>
      </c>
      <c r="Z28" s="375"/>
      <c r="AA28" s="375"/>
      <c r="AB28" s="375"/>
      <c r="AC28" s="375"/>
      <c r="AD28" s="375"/>
      <c r="AE28" s="375"/>
      <c r="AF28" s="375"/>
      <c r="AG28" s="375"/>
      <c r="AH28" s="375"/>
    </row>
    <row r="29" spans="1:34" hidden="1" x14ac:dyDescent="0.3">
      <c r="A29" s="438" t="s">
        <v>272</v>
      </c>
      <c r="B29" s="456"/>
      <c r="C29" s="456"/>
      <c r="D29" s="439"/>
      <c r="E29" s="452"/>
      <c r="F29" s="452"/>
      <c r="G29" s="452"/>
      <c r="H29" s="391"/>
      <c r="I29" s="391"/>
      <c r="J29" s="391"/>
      <c r="K29" s="391"/>
      <c r="L29" s="391"/>
      <c r="M29" s="391"/>
      <c r="N29" s="391"/>
      <c r="O29" s="391"/>
      <c r="P29" s="391"/>
      <c r="Q29" s="391"/>
      <c r="R29" s="391"/>
      <c r="S29" s="391"/>
      <c r="T29" s="390"/>
      <c r="U29" s="375"/>
      <c r="V29" s="390"/>
      <c r="W29" s="390"/>
      <c r="X29" s="390"/>
      <c r="Y29" s="390"/>
      <c r="Z29" s="375"/>
      <c r="AA29" s="375"/>
      <c r="AB29" s="375"/>
      <c r="AC29" s="375"/>
      <c r="AD29" s="375"/>
      <c r="AE29" s="375"/>
      <c r="AF29" s="375"/>
      <c r="AG29" s="375"/>
      <c r="AH29" s="375"/>
    </row>
    <row r="30" spans="1:34" x14ac:dyDescent="0.3">
      <c r="A30" s="442" t="str">
        <f>A6</f>
        <v>Uued ettevõtted:</v>
      </c>
      <c r="B30" s="438"/>
      <c r="C30" s="438"/>
      <c r="D30" s="439"/>
      <c r="E30" s="440"/>
      <c r="F30" s="440"/>
      <c r="G30" s="632">
        <f>G34</f>
        <v>0</v>
      </c>
      <c r="H30" s="632">
        <f t="shared" ref="H30:S30" si="4">H34</f>
        <v>3</v>
      </c>
      <c r="I30" s="632">
        <f t="shared" si="4"/>
        <v>9</v>
      </c>
      <c r="J30" s="632">
        <f t="shared" si="4"/>
        <v>15</v>
      </c>
      <c r="K30" s="632">
        <f t="shared" si="4"/>
        <v>21</v>
      </c>
      <c r="L30" s="632">
        <f t="shared" si="4"/>
        <v>27</v>
      </c>
      <c r="M30" s="632">
        <f t="shared" si="4"/>
        <v>33</v>
      </c>
      <c r="N30" s="632">
        <f t="shared" si="4"/>
        <v>42</v>
      </c>
      <c r="O30" s="632">
        <f t="shared" si="4"/>
        <v>51</v>
      </c>
      <c r="P30" s="632">
        <f t="shared" si="4"/>
        <v>60</v>
      </c>
      <c r="Q30" s="632">
        <f t="shared" si="4"/>
        <v>69</v>
      </c>
      <c r="R30" s="632">
        <f t="shared" si="4"/>
        <v>78</v>
      </c>
      <c r="S30" s="632">
        <f t="shared" si="4"/>
        <v>87</v>
      </c>
      <c r="T30" s="633">
        <f>S30</f>
        <v>87</v>
      </c>
      <c r="U30" s="375"/>
      <c r="V30" s="387">
        <f>I30</f>
        <v>9</v>
      </c>
      <c r="W30" s="387">
        <f>K30</f>
        <v>21</v>
      </c>
      <c r="X30" s="387">
        <f>P30</f>
        <v>60</v>
      </c>
      <c r="Y30" s="387">
        <f>S30</f>
        <v>87</v>
      </c>
      <c r="Z30" s="375"/>
      <c r="AA30" s="375"/>
      <c r="AB30" s="375"/>
      <c r="AC30" s="375"/>
      <c r="AD30" s="375"/>
      <c r="AE30" s="375"/>
      <c r="AF30" s="375"/>
      <c r="AG30" s="375"/>
      <c r="AH30" s="375"/>
    </row>
    <row r="31" spans="1:34" x14ac:dyDescent="0.3">
      <c r="A31" s="488" t="s">
        <v>553</v>
      </c>
      <c r="B31" s="440"/>
      <c r="C31" s="440"/>
      <c r="D31" s="439" t="s">
        <v>516</v>
      </c>
      <c r="E31" s="443"/>
      <c r="F31" s="444"/>
      <c r="G31" s="441">
        <f>'Eeldused SotsMajand. moju'!C9</f>
        <v>0</v>
      </c>
      <c r="H31" s="441">
        <f>'Eeldused SotsMajand. moju'!D9</f>
        <v>5</v>
      </c>
      <c r="I31" s="441">
        <f>'Eeldused SotsMajand. moju'!E9</f>
        <v>10</v>
      </c>
      <c r="J31" s="441">
        <f>'Eeldused SotsMajand. moju'!F9</f>
        <v>10</v>
      </c>
      <c r="K31" s="441">
        <f>'Eeldused SotsMajand. moju'!G9</f>
        <v>10</v>
      </c>
      <c r="L31" s="441">
        <f>'Eeldused SotsMajand. moju'!H9</f>
        <v>10</v>
      </c>
      <c r="M31" s="441">
        <f>'Eeldused SotsMajand. moju'!I9</f>
        <v>10</v>
      </c>
      <c r="N31" s="441">
        <f>'Eeldused SotsMajand. moju'!J9</f>
        <v>15</v>
      </c>
      <c r="O31" s="441">
        <f>'Eeldused SotsMajand. moju'!K9</f>
        <v>15</v>
      </c>
      <c r="P31" s="441">
        <f>O31</f>
        <v>15</v>
      </c>
      <c r="Q31" s="441">
        <f t="shared" ref="Q31:S32" si="5">P31</f>
        <v>15</v>
      </c>
      <c r="R31" s="441">
        <f t="shared" si="5"/>
        <v>15</v>
      </c>
      <c r="S31" s="444">
        <f t="shared" si="5"/>
        <v>15</v>
      </c>
      <c r="T31" s="386">
        <f>SUM(G31:S31)</f>
        <v>145</v>
      </c>
      <c r="U31" s="375"/>
      <c r="V31" s="387">
        <f>I31</f>
        <v>10</v>
      </c>
      <c r="W31" s="387">
        <f>K31</f>
        <v>10</v>
      </c>
      <c r="X31" s="387">
        <f>P31</f>
        <v>15</v>
      </c>
      <c r="Y31" s="387">
        <f>S31</f>
        <v>15</v>
      </c>
      <c r="Z31" s="375"/>
      <c r="AA31" s="375"/>
      <c r="AB31" s="375"/>
      <c r="AC31" s="375"/>
      <c r="AD31" s="375"/>
      <c r="AE31" s="375"/>
      <c r="AF31" s="375"/>
      <c r="AG31" s="375"/>
      <c r="AH31" s="375"/>
    </row>
    <row r="32" spans="1:34" x14ac:dyDescent="0.3">
      <c r="A32" s="488" t="str">
        <f t="shared" ref="A32:A34" si="6">A8</f>
        <v>ellujäämise % 5 aasta jooksul</v>
      </c>
      <c r="B32" s="596">
        <f>'Eeldused SotsMajand. moju'!B13</f>
        <v>0.6</v>
      </c>
      <c r="C32" s="440"/>
      <c r="D32" s="439"/>
      <c r="E32" s="443"/>
      <c r="F32" s="444"/>
      <c r="G32" s="600">
        <f>B32</f>
        <v>0.6</v>
      </c>
      <c r="H32" s="601">
        <f>G32</f>
        <v>0.6</v>
      </c>
      <c r="I32" s="601">
        <f t="shared" ref="I32" si="7">H32</f>
        <v>0.6</v>
      </c>
      <c r="J32" s="601">
        <f t="shared" ref="J32" si="8">I32</f>
        <v>0.6</v>
      </c>
      <c r="K32" s="601">
        <f t="shared" ref="K32" si="9">J32</f>
        <v>0.6</v>
      </c>
      <c r="L32" s="601">
        <f t="shared" ref="L32" si="10">K32</f>
        <v>0.6</v>
      </c>
      <c r="M32" s="601">
        <f t="shared" ref="M32" si="11">L32</f>
        <v>0.6</v>
      </c>
      <c r="N32" s="601">
        <f t="shared" ref="N32" si="12">M32</f>
        <v>0.6</v>
      </c>
      <c r="O32" s="601">
        <f t="shared" ref="O32" si="13">N32</f>
        <v>0.6</v>
      </c>
      <c r="P32" s="601">
        <f t="shared" ref="P32" si="14">O32</f>
        <v>0.6</v>
      </c>
      <c r="Q32" s="601">
        <f t="shared" si="5"/>
        <v>0.6</v>
      </c>
      <c r="R32" s="601">
        <f t="shared" si="5"/>
        <v>0.6</v>
      </c>
      <c r="S32" s="597">
        <f t="shared" si="5"/>
        <v>0.6</v>
      </c>
      <c r="T32" s="379"/>
      <c r="U32" s="375"/>
      <c r="V32" s="387"/>
      <c r="W32" s="387"/>
      <c r="X32" s="387"/>
      <c r="Y32" s="387"/>
      <c r="Z32" s="375"/>
      <c r="AA32" s="375"/>
      <c r="AB32" s="375"/>
      <c r="AC32" s="375"/>
      <c r="AD32" s="375"/>
      <c r="AE32" s="375"/>
      <c r="AF32" s="375"/>
      <c r="AG32" s="375"/>
      <c r="AH32" s="375"/>
    </row>
    <row r="33" spans="1:34" x14ac:dyDescent="0.3">
      <c r="A33" s="488" t="s">
        <v>554</v>
      </c>
      <c r="B33" s="440"/>
      <c r="C33" s="440"/>
      <c r="D33" s="439"/>
      <c r="E33" s="443"/>
      <c r="F33" s="444"/>
      <c r="G33" s="450">
        <f>G31*G32</f>
        <v>0</v>
      </c>
      <c r="H33" s="450">
        <f>H31*H32</f>
        <v>3</v>
      </c>
      <c r="I33" s="450">
        <f>I31*I32</f>
        <v>6</v>
      </c>
      <c r="J33" s="450">
        <f>J31*J32</f>
        <v>6</v>
      </c>
      <c r="K33" s="450">
        <f>K31*K32</f>
        <v>6</v>
      </c>
      <c r="L33" s="450">
        <f t="shared" ref="L33:S33" si="15">L31*L32</f>
        <v>6</v>
      </c>
      <c r="M33" s="450">
        <f t="shared" si="15"/>
        <v>6</v>
      </c>
      <c r="N33" s="450">
        <f t="shared" si="15"/>
        <v>9</v>
      </c>
      <c r="O33" s="450">
        <f t="shared" si="15"/>
        <v>9</v>
      </c>
      <c r="P33" s="450">
        <f t="shared" si="15"/>
        <v>9</v>
      </c>
      <c r="Q33" s="450">
        <f t="shared" si="15"/>
        <v>9</v>
      </c>
      <c r="R33" s="450">
        <f t="shared" si="15"/>
        <v>9</v>
      </c>
      <c r="S33" s="443">
        <f t="shared" si="15"/>
        <v>9</v>
      </c>
      <c r="T33" s="387">
        <f>SUM(G33:S33)</f>
        <v>87</v>
      </c>
      <c r="U33" s="375"/>
      <c r="V33" s="387"/>
      <c r="W33" s="387"/>
      <c r="X33" s="387"/>
      <c r="Y33" s="387"/>
      <c r="Z33" s="375"/>
      <c r="AA33" s="375"/>
      <c r="AB33" s="375"/>
      <c r="AC33" s="375"/>
      <c r="AD33" s="375"/>
      <c r="AE33" s="375"/>
      <c r="AF33" s="375"/>
      <c r="AG33" s="375"/>
      <c r="AH33" s="375"/>
    </row>
    <row r="34" spans="1:34" ht="28.5" customHeight="1" x14ac:dyDescent="0.3">
      <c r="A34" s="634" t="str">
        <f t="shared" si="6"/>
        <v>tegutsevad ettevõtted arvestades ellujäämise %</v>
      </c>
      <c r="B34" s="440"/>
      <c r="C34" s="440"/>
      <c r="D34" s="439" t="s">
        <v>516</v>
      </c>
      <c r="E34" s="443"/>
      <c r="F34" s="443"/>
      <c r="G34" s="593">
        <f>G33</f>
        <v>0</v>
      </c>
      <c r="H34" s="593">
        <f>G34+H33</f>
        <v>3</v>
      </c>
      <c r="I34" s="593">
        <f t="shared" ref="I34" si="16">H34+I33</f>
        <v>9</v>
      </c>
      <c r="J34" s="593">
        <f t="shared" ref="J34" si="17">I34+J33</f>
        <v>15</v>
      </c>
      <c r="K34" s="593">
        <f t="shared" ref="K34" si="18">J34+K33</f>
        <v>21</v>
      </c>
      <c r="L34" s="593">
        <f t="shared" ref="L34" si="19">K34+L33</f>
        <v>27</v>
      </c>
      <c r="M34" s="593">
        <f t="shared" ref="M34" si="20">L34+M33</f>
        <v>33</v>
      </c>
      <c r="N34" s="593">
        <f t="shared" ref="N34" si="21">M34+N33</f>
        <v>42</v>
      </c>
      <c r="O34" s="593">
        <f t="shared" ref="O34" si="22">N34+O33</f>
        <v>51</v>
      </c>
      <c r="P34" s="593">
        <f t="shared" ref="P34" si="23">O34+P33</f>
        <v>60</v>
      </c>
      <c r="Q34" s="593">
        <f t="shared" ref="Q34" si="24">P34+Q33</f>
        <v>69</v>
      </c>
      <c r="R34" s="593">
        <f t="shared" ref="R34" si="25">Q34+R33</f>
        <v>78</v>
      </c>
      <c r="S34" s="593">
        <f t="shared" ref="S34" si="26">R34+S33</f>
        <v>87</v>
      </c>
      <c r="T34" s="387">
        <f>S34</f>
        <v>87</v>
      </c>
      <c r="U34" s="375"/>
      <c r="V34" s="387">
        <f>I34</f>
        <v>9</v>
      </c>
      <c r="W34" s="387">
        <f>K34</f>
        <v>21</v>
      </c>
      <c r="X34" s="387">
        <f>P34</f>
        <v>60</v>
      </c>
      <c r="Y34" s="387">
        <f>S34</f>
        <v>87</v>
      </c>
      <c r="Z34" s="375"/>
      <c r="AA34" s="375"/>
      <c r="AB34" s="375"/>
      <c r="AC34" s="375"/>
      <c r="AD34" s="375"/>
      <c r="AE34" s="375"/>
      <c r="AF34" s="375"/>
      <c r="AG34" s="375"/>
      <c r="AH34" s="375"/>
    </row>
    <row r="35" spans="1:34" x14ac:dyDescent="0.3">
      <c r="A35" s="453" t="s">
        <v>547</v>
      </c>
      <c r="B35" s="440"/>
      <c r="C35" s="440"/>
      <c r="D35" s="439"/>
      <c r="E35" s="443"/>
      <c r="F35" s="443"/>
      <c r="G35" s="593"/>
      <c r="H35" s="593"/>
      <c r="I35" s="593"/>
      <c r="J35" s="593"/>
      <c r="K35" s="593"/>
      <c r="L35" s="593"/>
      <c r="M35" s="593"/>
      <c r="N35" s="593"/>
      <c r="O35" s="593"/>
      <c r="P35" s="593"/>
      <c r="Q35" s="593"/>
      <c r="R35" s="593"/>
      <c r="S35" s="593"/>
      <c r="T35" s="387"/>
      <c r="U35" s="375"/>
      <c r="V35" s="387"/>
      <c r="W35" s="387"/>
      <c r="X35" s="387"/>
      <c r="Y35" s="387"/>
      <c r="Z35" s="375"/>
      <c r="AA35" s="375"/>
      <c r="AB35" s="375"/>
      <c r="AC35" s="375"/>
      <c r="AD35" s="375"/>
      <c r="AE35" s="375"/>
      <c r="AF35" s="375"/>
      <c r="AG35" s="375"/>
      <c r="AH35" s="375"/>
    </row>
    <row r="36" spans="1:34" x14ac:dyDescent="0.3">
      <c r="A36" s="458" t="s">
        <v>548</v>
      </c>
      <c r="B36" s="440"/>
      <c r="C36" s="440"/>
      <c r="D36" s="439"/>
      <c r="E36" s="443"/>
      <c r="F36" s="443"/>
      <c r="G36" s="593">
        <f>G33</f>
        <v>0</v>
      </c>
      <c r="H36" s="593">
        <f>G33+H33</f>
        <v>3</v>
      </c>
      <c r="I36" s="593">
        <f t="shared" ref="I36:O36" si="27">G33+H33+I33</f>
        <v>9</v>
      </c>
      <c r="J36" s="593">
        <f t="shared" si="27"/>
        <v>15</v>
      </c>
      <c r="K36" s="593">
        <f t="shared" si="27"/>
        <v>18</v>
      </c>
      <c r="L36" s="593">
        <f t="shared" si="27"/>
        <v>18</v>
      </c>
      <c r="M36" s="593">
        <f t="shared" si="27"/>
        <v>18</v>
      </c>
      <c r="N36" s="593">
        <f t="shared" si="27"/>
        <v>21</v>
      </c>
      <c r="O36" s="593">
        <f t="shared" si="27"/>
        <v>24</v>
      </c>
      <c r="P36" s="593">
        <f>O33+P33</f>
        <v>18</v>
      </c>
      <c r="Q36" s="593">
        <f>O33+P33+Q33</f>
        <v>27</v>
      </c>
      <c r="R36" s="593">
        <f>P33+Q33+R33</f>
        <v>27</v>
      </c>
      <c r="S36" s="593">
        <f>Q33+R33+S33</f>
        <v>27</v>
      </c>
      <c r="T36" s="387"/>
      <c r="U36" s="375"/>
      <c r="V36" s="387"/>
      <c r="W36" s="387"/>
      <c r="X36" s="387"/>
      <c r="Y36" s="387"/>
      <c r="Z36" s="375"/>
      <c r="AA36" s="375"/>
      <c r="AB36" s="375"/>
      <c r="AC36" s="375"/>
      <c r="AD36" s="375"/>
      <c r="AE36" s="375"/>
      <c r="AF36" s="375"/>
      <c r="AG36" s="375"/>
      <c r="AH36" s="375"/>
    </row>
    <row r="37" spans="1:34" x14ac:dyDescent="0.3">
      <c r="A37" s="458" t="s">
        <v>549</v>
      </c>
      <c r="B37" s="440"/>
      <c r="C37" s="440"/>
      <c r="D37" s="439"/>
      <c r="E37" s="443"/>
      <c r="F37" s="443"/>
      <c r="G37" s="593"/>
      <c r="H37" s="593"/>
      <c r="I37" s="593"/>
      <c r="J37" s="593">
        <f>G33</f>
        <v>0</v>
      </c>
      <c r="K37" s="593">
        <f t="shared" ref="K37:S37" si="28">G33+H33</f>
        <v>3</v>
      </c>
      <c r="L37" s="593">
        <f t="shared" si="28"/>
        <v>9</v>
      </c>
      <c r="M37" s="593">
        <f t="shared" si="28"/>
        <v>12</v>
      </c>
      <c r="N37" s="593">
        <f t="shared" si="28"/>
        <v>12</v>
      </c>
      <c r="O37" s="593">
        <f t="shared" si="28"/>
        <v>12</v>
      </c>
      <c r="P37" s="593">
        <f t="shared" si="28"/>
        <v>12</v>
      </c>
      <c r="Q37" s="593">
        <f t="shared" si="28"/>
        <v>15</v>
      </c>
      <c r="R37" s="593">
        <f t="shared" si="28"/>
        <v>18</v>
      </c>
      <c r="S37" s="593">
        <f t="shared" si="28"/>
        <v>18</v>
      </c>
      <c r="T37" s="387"/>
      <c r="U37" s="375"/>
      <c r="V37" s="387"/>
      <c r="W37" s="387"/>
      <c r="X37" s="387"/>
      <c r="Y37" s="387"/>
      <c r="Z37" s="375"/>
      <c r="AA37" s="375"/>
      <c r="AB37" s="375"/>
      <c r="AC37" s="375"/>
      <c r="AD37" s="375"/>
      <c r="AE37" s="375"/>
      <c r="AF37" s="375"/>
      <c r="AG37" s="375"/>
      <c r="AH37" s="375"/>
    </row>
    <row r="38" spans="1:34" x14ac:dyDescent="0.3">
      <c r="A38" s="458" t="s">
        <v>550</v>
      </c>
      <c r="B38" s="440"/>
      <c r="C38" s="440"/>
      <c r="D38" s="439"/>
      <c r="E38" s="443"/>
      <c r="F38" s="443"/>
      <c r="G38" s="593"/>
      <c r="H38" s="593"/>
      <c r="I38" s="593"/>
      <c r="J38" s="593"/>
      <c r="K38" s="593"/>
      <c r="L38" s="593">
        <f>G33</f>
        <v>0</v>
      </c>
      <c r="M38" s="593">
        <f>G33+H33</f>
        <v>3</v>
      </c>
      <c r="N38" s="593">
        <f>G33+H33+I33</f>
        <v>9</v>
      </c>
      <c r="O38" s="593">
        <f>H33+I33+J33</f>
        <v>15</v>
      </c>
      <c r="P38" s="593">
        <f>I33+J33+K33</f>
        <v>18</v>
      </c>
      <c r="Q38" s="593">
        <f>J33+K33+L33</f>
        <v>18</v>
      </c>
      <c r="R38" s="593">
        <f>K33+L33+M33</f>
        <v>18</v>
      </c>
      <c r="S38" s="593">
        <f>M33+N33</f>
        <v>15</v>
      </c>
      <c r="T38" s="387"/>
      <c r="U38" s="375"/>
      <c r="V38" s="387"/>
      <c r="W38" s="387"/>
      <c r="X38" s="387"/>
      <c r="Y38" s="387"/>
      <c r="Z38" s="375"/>
      <c r="AA38" s="375"/>
      <c r="AB38" s="375"/>
      <c r="AC38" s="375"/>
      <c r="AD38" s="375"/>
      <c r="AE38" s="375"/>
      <c r="AF38" s="375"/>
      <c r="AG38" s="375"/>
      <c r="AH38" s="375"/>
    </row>
    <row r="39" spans="1:34" x14ac:dyDescent="0.3">
      <c r="A39" s="458" t="s">
        <v>551</v>
      </c>
      <c r="B39" s="440"/>
      <c r="C39" s="440"/>
      <c r="D39" s="439"/>
      <c r="E39" s="443"/>
      <c r="F39" s="443"/>
      <c r="G39" s="593"/>
      <c r="H39" s="593"/>
      <c r="I39" s="593"/>
      <c r="J39" s="593"/>
      <c r="K39" s="593"/>
      <c r="L39" s="593"/>
      <c r="M39" s="593"/>
      <c r="N39" s="593"/>
      <c r="O39" s="593">
        <f>G33</f>
        <v>0</v>
      </c>
      <c r="P39" s="593">
        <f>G33+H33</f>
        <v>3</v>
      </c>
      <c r="Q39" s="593">
        <f>H33+I33</f>
        <v>9</v>
      </c>
      <c r="R39" s="593">
        <f>I33+J33</f>
        <v>12</v>
      </c>
      <c r="S39" s="593">
        <f>J33+K33+L33</f>
        <v>18</v>
      </c>
      <c r="T39" s="387"/>
      <c r="U39" s="375"/>
      <c r="V39" s="387"/>
      <c r="W39" s="387"/>
      <c r="X39" s="387"/>
      <c r="Y39" s="387"/>
      <c r="Z39" s="375"/>
      <c r="AA39" s="375"/>
      <c r="AB39" s="375"/>
      <c r="AC39" s="375"/>
      <c r="AD39" s="375"/>
      <c r="AE39" s="375"/>
      <c r="AF39" s="375"/>
      <c r="AG39" s="375"/>
      <c r="AH39" s="375"/>
    </row>
    <row r="40" spans="1:34" x14ac:dyDescent="0.3">
      <c r="A40" s="458" t="s">
        <v>552</v>
      </c>
      <c r="B40" s="440"/>
      <c r="C40" s="440"/>
      <c r="D40" s="439"/>
      <c r="E40" s="443"/>
      <c r="F40" s="443"/>
      <c r="G40" s="593"/>
      <c r="H40" s="593"/>
      <c r="I40" s="593"/>
      <c r="J40" s="593"/>
      <c r="K40" s="593"/>
      <c r="L40" s="593"/>
      <c r="M40" s="593"/>
      <c r="N40" s="593"/>
      <c r="O40" s="593"/>
      <c r="P40" s="593"/>
      <c r="Q40" s="593">
        <f>G33</f>
        <v>0</v>
      </c>
      <c r="R40" s="593">
        <f>G33+H33</f>
        <v>3</v>
      </c>
      <c r="S40" s="593">
        <f>G33+H33+I33</f>
        <v>9</v>
      </c>
      <c r="T40" s="387"/>
      <c r="U40" s="375"/>
      <c r="V40" s="387"/>
      <c r="W40" s="387"/>
      <c r="X40" s="387"/>
      <c r="Y40" s="387"/>
      <c r="Z40" s="375"/>
      <c r="AA40" s="375"/>
      <c r="AB40" s="375"/>
      <c r="AC40" s="375"/>
      <c r="AD40" s="375"/>
      <c r="AE40" s="375"/>
      <c r="AF40" s="375"/>
      <c r="AG40" s="375"/>
      <c r="AH40" s="375"/>
    </row>
    <row r="41" spans="1:34" x14ac:dyDescent="0.3">
      <c r="A41" s="488"/>
      <c r="B41" s="440"/>
      <c r="C41" s="440"/>
      <c r="D41" s="439"/>
      <c r="E41" s="443"/>
      <c r="F41" s="443"/>
      <c r="G41" s="443"/>
      <c r="H41" s="388"/>
      <c r="I41" s="388"/>
      <c r="J41" s="388"/>
      <c r="K41" s="388"/>
      <c r="L41" s="388"/>
      <c r="M41" s="388"/>
      <c r="N41" s="388"/>
      <c r="O41" s="388"/>
      <c r="P41" s="388"/>
      <c r="Q41" s="388"/>
      <c r="R41" s="388"/>
      <c r="S41" s="388"/>
      <c r="T41" s="387"/>
      <c r="U41" s="375"/>
      <c r="V41" s="387"/>
      <c r="W41" s="387"/>
      <c r="X41" s="387"/>
      <c r="Y41" s="387"/>
      <c r="Z41" s="375"/>
      <c r="AA41" s="375"/>
      <c r="AB41" s="375"/>
      <c r="AC41" s="375"/>
      <c r="AD41" s="375"/>
      <c r="AE41" s="375"/>
      <c r="AF41" s="375"/>
      <c r="AG41" s="375"/>
      <c r="AH41" s="375"/>
    </row>
    <row r="42" spans="1:34" x14ac:dyDescent="0.3">
      <c r="A42" s="442" t="str">
        <f>A18</f>
        <v>Müük</v>
      </c>
      <c r="B42" s="445"/>
      <c r="C42" s="446"/>
      <c r="D42" s="439" t="s">
        <v>515</v>
      </c>
      <c r="E42" s="448"/>
      <c r="F42" s="448"/>
      <c r="G42" s="448">
        <f>G36*'Eeldused SotsMajand. moju'!$B$25+G37*'Eeldused SotsMajand. moju'!$C$25+G38*'Eeldused SotsMajand. moju'!$D$25+G39*'Eeldused SotsMajand. moju'!$E$25+G40*'Eeldused SotsMajand. moju'!$F$25</f>
        <v>0</v>
      </c>
      <c r="H42" s="448">
        <f>H36*'Eeldused SotsMajand. moju'!$B$25+H37*'Eeldused SotsMajand. moju'!$C$25+H38*'Eeldused SotsMajand. moju'!$D$25+H39*'Eeldused SotsMajand. moju'!$E$25+H40*'Eeldused SotsMajand. moju'!$F$25</f>
        <v>150000</v>
      </c>
      <c r="I42" s="448">
        <f>I36*'Eeldused SotsMajand. moju'!$B$25+I37*'Eeldused SotsMajand. moju'!$C$25+I38*'Eeldused SotsMajand. moju'!$D$25+I39*'Eeldused SotsMajand. moju'!$E$25+I40*'Eeldused SotsMajand. moju'!$F$25</f>
        <v>450000</v>
      </c>
      <c r="J42" s="448">
        <f>J36*'Eeldused SotsMajand. moju'!$B$25+J37*'Eeldused SotsMajand. moju'!$C$25+J38*'Eeldused SotsMajand. moju'!$D$25+J39*'Eeldused SotsMajand. moju'!$E$25+J40*'Eeldused SotsMajand. moju'!$F$25</f>
        <v>750000</v>
      </c>
      <c r="K42" s="448">
        <f>K36*'Eeldused SotsMajand. moju'!$B$25+K37*'Eeldused SotsMajand. moju'!$C$25+K38*'Eeldused SotsMajand. moju'!$D$25+K39*'Eeldused SotsMajand. moju'!$E$25+K40*'Eeldused SotsMajand. moju'!$F$25</f>
        <v>1311000</v>
      </c>
      <c r="L42" s="448">
        <f>L36*'Eeldused SotsMajand. moju'!$B$25+L37*'Eeldused SotsMajand. moju'!$C$25+L38*'Eeldused SotsMajand. moju'!$D$25+L39*'Eeldused SotsMajand. moju'!$E$25+L40*'Eeldused SotsMajand. moju'!$F$25</f>
        <v>2133000</v>
      </c>
      <c r="M42" s="448">
        <f>M36*'Eeldused SotsMajand. moju'!$B$25+M37*'Eeldused SotsMajand. moju'!$C$25+M38*'Eeldused SotsMajand. moju'!$D$25+M39*'Eeldused SotsMajand. moju'!$E$25+M40*'Eeldused SotsMajand. moju'!$F$25</f>
        <v>3144000</v>
      </c>
      <c r="N42" s="448">
        <f>N36*'Eeldused SotsMajand. moju'!$B$25+N37*'Eeldused SotsMajand. moju'!$C$25+N38*'Eeldused SotsMajand. moju'!$D$25+N39*'Eeldused SotsMajand. moju'!$E$25+N40*'Eeldused SotsMajand. moju'!$F$25</f>
        <v>4494000</v>
      </c>
      <c r="O42" s="448">
        <f>O36*'Eeldused SotsMajand. moju'!$B$25+O37*'Eeldused SotsMajand. moju'!$C$25+O38*'Eeldused SotsMajand. moju'!$D$25+O39*'Eeldused SotsMajand. moju'!$E$25+O40*'Eeldused SotsMajand. moju'!$F$25</f>
        <v>5844000</v>
      </c>
      <c r="P42" s="448">
        <f>P36*'Eeldused SotsMajand. moju'!$B$25+P37*'Eeldused SotsMajand. moju'!$C$25+P38*'Eeldused SotsMajand. moju'!$D$25+P39*'Eeldused SotsMajand. moju'!$E$25+P40*'Eeldused SotsMajand. moju'!$F$25</f>
        <v>6894000</v>
      </c>
      <c r="Q42" s="448">
        <f>Q36*'Eeldused SotsMajand. moju'!$B$25+Q37*'Eeldused SotsMajand. moju'!$C$25+Q38*'Eeldused SotsMajand. moju'!$D$25+Q39*'Eeldused SotsMajand. moju'!$E$25+Q40*'Eeldused SotsMajand. moju'!$F$25</f>
        <v>9255000</v>
      </c>
      <c r="R42" s="448">
        <f>R36*'Eeldused SotsMajand. moju'!$B$25+R37*'Eeldused SotsMajand. moju'!$C$25+R38*'Eeldused SotsMajand. moju'!$D$25+R39*'Eeldused SotsMajand. moju'!$E$25+R40*'Eeldused SotsMajand. moju'!$F$25</f>
        <v>11316000</v>
      </c>
      <c r="S42" s="448">
        <f>S36*'Eeldused SotsMajand. moju'!$B$25+S37*'Eeldused SotsMajand. moju'!$C$25+S38*'Eeldused SotsMajand. moju'!$D$25+S39*'Eeldused SotsMajand. moju'!$E$25+S40*'Eeldused SotsMajand. moju'!$F$25</f>
        <v>14016000</v>
      </c>
      <c r="T42" s="390">
        <f>SUM(E42:S42)</f>
        <v>59757000</v>
      </c>
      <c r="U42" s="375"/>
      <c r="V42" s="390">
        <f>SUM($G42:I42)</f>
        <v>600000</v>
      </c>
      <c r="W42" s="390">
        <f>SUM($G42:K42)</f>
        <v>2661000</v>
      </c>
      <c r="X42" s="390">
        <f>SUM($G42:P42)</f>
        <v>25170000</v>
      </c>
      <c r="Y42" s="390">
        <f>SUM($G42:S42)</f>
        <v>59757000</v>
      </c>
      <c r="Z42" s="375"/>
      <c r="AA42" s="375"/>
      <c r="AB42" s="375"/>
      <c r="AC42" s="375"/>
      <c r="AD42" s="375"/>
      <c r="AE42" s="375"/>
      <c r="AF42" s="375"/>
      <c r="AG42" s="375"/>
      <c r="AH42" s="375"/>
    </row>
    <row r="43" spans="1:34" x14ac:dyDescent="0.3">
      <c r="A43" s="442" t="str">
        <f t="shared" ref="A43:A52" si="29">A19</f>
        <v>Ekspordi kasv</v>
      </c>
      <c r="B43" s="449"/>
      <c r="C43" s="446"/>
      <c r="D43" s="439" t="s">
        <v>515</v>
      </c>
      <c r="E43" s="447"/>
      <c r="F43" s="447"/>
      <c r="G43" s="447">
        <f>G36*'Eeldused SotsMajand. moju'!$B$25*'Eeldused SotsMajand. moju'!$B$28+G37*'Eeldused SotsMajand. moju'!$C$25*'Eeldused SotsMajand. moju'!$C$28+G38*'Eeldused SotsMajand. moju'!$D$25*'Eeldused SotsMajand. moju'!$D$28+G39*'Eeldused SotsMajand. moju'!$E$25*'Eeldused SotsMajand. moju'!$E$28+G40*'Eeldused SotsMajand. moju'!$F$25*'Eeldused SotsMajand. moju'!$F$28</f>
        <v>0</v>
      </c>
      <c r="H43" s="447">
        <f>H36*'Eeldused SotsMajand. moju'!$B$25*'Eeldused SotsMajand. moju'!$B$28+H37*'Eeldused SotsMajand. moju'!$C$25*'Eeldused SotsMajand. moju'!$C$28+H38*'Eeldused SotsMajand. moju'!$D$25*'Eeldused SotsMajand. moju'!$D$28+H39*'Eeldused SotsMajand. moju'!$E$25*'Eeldused SotsMajand. moju'!$E$28+H40*'Eeldused SotsMajand. moju'!$F$25*'Eeldused SotsMajand. moju'!$F$28</f>
        <v>0</v>
      </c>
      <c r="I43" s="447">
        <f>I36*'Eeldused SotsMajand. moju'!$B$25*'Eeldused SotsMajand. moju'!$B$28+I37*'Eeldused SotsMajand. moju'!$C$25*'Eeldused SotsMajand. moju'!$C$28+I38*'Eeldused SotsMajand. moju'!$D$25*'Eeldused SotsMajand. moju'!$D$28+I39*'Eeldused SotsMajand. moju'!$E$25*'Eeldused SotsMajand. moju'!$E$28+I40*'Eeldused SotsMajand. moju'!$F$25*'Eeldused SotsMajand. moju'!$F$28</f>
        <v>0</v>
      </c>
      <c r="J43" s="447">
        <f>J36*'Eeldused SotsMajand. moju'!$B$25*'Eeldused SotsMajand. moju'!$B$28+J37*'Eeldused SotsMajand. moju'!$C$25*'Eeldused SotsMajand. moju'!$C$28+J38*'Eeldused SotsMajand. moju'!$D$25*'Eeldused SotsMajand. moju'!$D$28+J39*'Eeldused SotsMajand. moju'!$E$25*'Eeldused SotsMajand. moju'!$E$28+J40*'Eeldused SotsMajand. moju'!$F$25*'Eeldused SotsMajand. moju'!$F$28</f>
        <v>0</v>
      </c>
      <c r="K43" s="447">
        <f>K36*'Eeldused SotsMajand. moju'!$B$25*'Eeldused SotsMajand. moju'!$B$28+K37*'Eeldused SotsMajand. moju'!$C$25*'Eeldused SotsMajand. moju'!$C$28+K38*'Eeldused SotsMajand. moju'!$D$25*'Eeldused SotsMajand. moju'!$D$28+K39*'Eeldused SotsMajand. moju'!$E$25*'Eeldused SotsMajand. moju'!$E$28+K40*'Eeldused SotsMajand. moju'!$F$25*'Eeldused SotsMajand. moju'!$F$28</f>
        <v>41100</v>
      </c>
      <c r="L43" s="447">
        <f>L36*'Eeldused SotsMajand. moju'!$B$25*'Eeldused SotsMajand. moju'!$B$28+L37*'Eeldused SotsMajand. moju'!$C$25*'Eeldused SotsMajand. moju'!$C$28+L38*'Eeldused SotsMajand. moju'!$D$25*'Eeldused SotsMajand. moju'!$D$28+L39*'Eeldused SotsMajand. moju'!$E$25*'Eeldused SotsMajand. moju'!$E$28+L40*'Eeldused SotsMajand. moju'!$F$25*'Eeldused SotsMajand. moju'!$F$28</f>
        <v>123300</v>
      </c>
      <c r="M43" s="447">
        <f>M36*'Eeldused SotsMajand. moju'!$B$25*'Eeldused SotsMajand. moju'!$B$28+M37*'Eeldused SotsMajand. moju'!$C$25*'Eeldused SotsMajand. moju'!$C$28+M38*'Eeldused SotsMajand. moju'!$D$25*'Eeldused SotsMajand. moju'!$D$28+M39*'Eeldused SotsMajand. moju'!$E$25*'Eeldused SotsMajand. moju'!$E$28+M40*'Eeldused SotsMajand. moju'!$F$25*'Eeldused SotsMajand. moju'!$F$28</f>
        <v>224400</v>
      </c>
      <c r="N43" s="447">
        <f>N36*'Eeldused SotsMajand. moju'!$B$25*'Eeldused SotsMajand. moju'!$B$28+N37*'Eeldused SotsMajand. moju'!$C$25*'Eeldused SotsMajand. moju'!$C$28+N38*'Eeldused SotsMajand. moju'!$D$25*'Eeldused SotsMajand. moju'!$D$28+N39*'Eeldused SotsMajand. moju'!$E$25*'Eeldused SotsMajand. moju'!$E$28+N40*'Eeldused SotsMajand. moju'!$F$25*'Eeldused SotsMajand. moju'!$F$28</f>
        <v>344400</v>
      </c>
      <c r="O43" s="447">
        <f>O36*'Eeldused SotsMajand. moju'!$B$25*'Eeldused SotsMajand. moju'!$B$28+O37*'Eeldused SotsMajand. moju'!$C$25*'Eeldused SotsMajand. moju'!$C$28+O38*'Eeldused SotsMajand. moju'!$D$25*'Eeldused SotsMajand. moju'!$D$28+O39*'Eeldused SotsMajand. moju'!$E$25*'Eeldused SotsMajand. moju'!$E$28+O40*'Eeldused SotsMajand. moju'!$F$25*'Eeldused SotsMajand. moju'!$F$28</f>
        <v>464400</v>
      </c>
      <c r="P43" s="447">
        <f>P36*'Eeldused SotsMajand. moju'!$B$25*'Eeldused SotsMajand. moju'!$B$28+P37*'Eeldused SotsMajand. moju'!$C$25*'Eeldused SotsMajand. moju'!$C$28+P38*'Eeldused SotsMajand. moju'!$D$25*'Eeldused SotsMajand. moju'!$D$28+P39*'Eeldused SotsMajand. moju'!$E$25*'Eeldused SotsMajand. moju'!$E$28+P40*'Eeldused SotsMajand. moju'!$F$25*'Eeldused SotsMajand. moju'!$F$28</f>
        <v>599400</v>
      </c>
      <c r="Q43" s="447">
        <f>Q36*'Eeldused SotsMajand. moju'!$B$25*'Eeldused SotsMajand. moju'!$B$28+Q37*'Eeldused SotsMajand. moju'!$C$25*'Eeldused SotsMajand. moju'!$C$28+Q38*'Eeldused SotsMajand. moju'!$D$25*'Eeldused SotsMajand. moju'!$D$28+Q39*'Eeldused SotsMajand. moju'!$E$25*'Eeldused SotsMajand. moju'!$E$28+Q40*'Eeldused SotsMajand. moju'!$F$25*'Eeldused SotsMajand. moju'!$F$28</f>
        <v>790500</v>
      </c>
      <c r="R43" s="447">
        <f>R36*'Eeldused SotsMajand. moju'!$B$25*'Eeldused SotsMajand. moju'!$B$28+R37*'Eeldused SotsMajand. moju'!$C$25*'Eeldused SotsMajand. moju'!$C$28+R38*'Eeldused SotsMajand. moju'!$D$25*'Eeldused SotsMajand. moju'!$D$28+R39*'Eeldused SotsMajand. moju'!$E$25*'Eeldused SotsMajand. moju'!$E$28+R40*'Eeldused SotsMajand. moju'!$F$25*'Eeldused SotsMajand. moju'!$F$28</f>
        <v>996600</v>
      </c>
      <c r="S43" s="447">
        <f>S36*'Eeldused SotsMajand. moju'!$B$25*'Eeldused SotsMajand. moju'!$B$28+S37*'Eeldused SotsMajand. moju'!$C$25*'Eeldused SotsMajand. moju'!$C$28+S38*'Eeldused SotsMajand. moju'!$D$25*'Eeldused SotsMajand. moju'!$D$28+S39*'Eeldused SotsMajand. moju'!$E$25*'Eeldused SotsMajand. moju'!$E$28+S40*'Eeldused SotsMajand. moju'!$F$25*'Eeldused SotsMajand. moju'!$F$28</f>
        <v>1266600</v>
      </c>
      <c r="T43" s="391">
        <f>SUM(E43:S43)</f>
        <v>4850700</v>
      </c>
      <c r="U43" s="375"/>
      <c r="V43" s="390">
        <f>SUM($G43:I43)</f>
        <v>0</v>
      </c>
      <c r="W43" s="390">
        <f>SUM($G43:K43)</f>
        <v>41100</v>
      </c>
      <c r="X43" s="390">
        <f>SUM($G43:P43)</f>
        <v>1797000</v>
      </c>
      <c r="Y43" s="390">
        <f>SUM($G43:S43)</f>
        <v>4850700</v>
      </c>
      <c r="Z43" s="375"/>
      <c r="AA43" s="375"/>
      <c r="AB43" s="375"/>
      <c r="AC43" s="375"/>
      <c r="AD43" s="375"/>
      <c r="AE43" s="375"/>
      <c r="AF43" s="375"/>
      <c r="AG43" s="375"/>
      <c r="AH43" s="375"/>
    </row>
    <row r="44" spans="1:34" x14ac:dyDescent="0.3">
      <c r="A44" s="442" t="str">
        <f t="shared" si="29"/>
        <v>Lisandväärtus</v>
      </c>
      <c r="B44" s="445"/>
      <c r="C44" s="446"/>
      <c r="D44" s="439" t="s">
        <v>515</v>
      </c>
      <c r="E44" s="447"/>
      <c r="F44" s="447"/>
      <c r="G44" s="447">
        <f>G36*'Eeldused SotsMajand. moju'!$B$25*'Eeldused SotsMajand. moju'!$B$31+G37*'Eeldused SotsMajand. moju'!$C$25*'Eeldused SotsMajand. moju'!$C$31+G38*'Eeldused SotsMajand. moju'!$D$25*'Eeldused SotsMajand. moju'!$D$31+G39*'Eeldused SotsMajand. moju'!$E$25*'Eeldused SotsMajand. moju'!$E$31+G40*'Eeldused SotsMajand. moju'!$F$25*'Eeldused SotsMajand. moju'!$F$31</f>
        <v>0</v>
      </c>
      <c r="H44" s="447">
        <f>H36*'Eeldused SotsMajand. moju'!$B$25*'Eeldused SotsMajand. moju'!$B$31+H37*'Eeldused SotsMajand. moju'!$C$25*'Eeldused SotsMajand. moju'!$C$31+H38*'Eeldused SotsMajand. moju'!$D$25*'Eeldused SotsMajand. moju'!$D$31+H39*'Eeldused SotsMajand. moju'!$E$25*'Eeldused SotsMajand. moju'!$E$31+H40*'Eeldused SotsMajand. moju'!$F$25*'Eeldused SotsMajand. moju'!$F$31</f>
        <v>75000</v>
      </c>
      <c r="I44" s="447">
        <f>I36*'Eeldused SotsMajand. moju'!$B$25*'Eeldused SotsMajand. moju'!$B$31+I37*'Eeldused SotsMajand. moju'!$C$25*'Eeldused SotsMajand. moju'!$C$31+I38*'Eeldused SotsMajand. moju'!$D$25*'Eeldused SotsMajand. moju'!$D$31+I39*'Eeldused SotsMajand. moju'!$E$25*'Eeldused SotsMajand. moju'!$E$31+I40*'Eeldused SotsMajand. moju'!$F$25*'Eeldused SotsMajand. moju'!$F$31</f>
        <v>225000</v>
      </c>
      <c r="J44" s="447">
        <f>J36*'Eeldused SotsMajand. moju'!$B$25*'Eeldused SotsMajand. moju'!$B$31+J37*'Eeldused SotsMajand. moju'!$C$25*'Eeldused SotsMajand. moju'!$C$31+J38*'Eeldused SotsMajand. moju'!$D$25*'Eeldused SotsMajand. moju'!$D$31+J39*'Eeldused SotsMajand. moju'!$E$25*'Eeldused SotsMajand. moju'!$E$31+J40*'Eeldused SotsMajand. moju'!$F$25*'Eeldused SotsMajand. moju'!$F$31</f>
        <v>375000</v>
      </c>
      <c r="K44" s="447">
        <f>K36*'Eeldused SotsMajand. moju'!$B$25*'Eeldused SotsMajand. moju'!$B$31+K37*'Eeldused SotsMajand. moju'!$C$25*'Eeldused SotsMajand. moju'!$C$31+K38*'Eeldused SotsMajand. moju'!$D$25*'Eeldused SotsMajand. moju'!$D$31+K39*'Eeldused SotsMajand. moju'!$E$25*'Eeldused SotsMajand. moju'!$E$31+K40*'Eeldused SotsMajand. moju'!$F$25*'Eeldused SotsMajand. moju'!$F$31</f>
        <v>655500</v>
      </c>
      <c r="L44" s="447">
        <f>L36*'Eeldused SotsMajand. moju'!$B$25*'Eeldused SotsMajand. moju'!$B$31+L37*'Eeldused SotsMajand. moju'!$C$25*'Eeldused SotsMajand. moju'!$C$31+L38*'Eeldused SotsMajand. moju'!$D$25*'Eeldused SotsMajand. moju'!$D$31+L39*'Eeldused SotsMajand. moju'!$E$25*'Eeldused SotsMajand. moju'!$E$31+L40*'Eeldused SotsMajand. moju'!$F$25*'Eeldused SotsMajand. moju'!$F$31</f>
        <v>1066500</v>
      </c>
      <c r="M44" s="447">
        <f>M36*'Eeldused SotsMajand. moju'!$B$25*'Eeldused SotsMajand. moju'!$B$31+M37*'Eeldused SotsMajand. moju'!$C$25*'Eeldused SotsMajand. moju'!$C$31+M38*'Eeldused SotsMajand. moju'!$D$25*'Eeldused SotsMajand. moju'!$D$31+M39*'Eeldused SotsMajand. moju'!$E$25*'Eeldused SotsMajand. moju'!$E$31+M40*'Eeldused SotsMajand. moju'!$F$25*'Eeldused SotsMajand. moju'!$F$31</f>
        <v>1572000</v>
      </c>
      <c r="N44" s="447">
        <f>N36*'Eeldused SotsMajand. moju'!$B$25*'Eeldused SotsMajand. moju'!$B$31+N37*'Eeldused SotsMajand. moju'!$C$25*'Eeldused SotsMajand. moju'!$C$31+N38*'Eeldused SotsMajand. moju'!$D$25*'Eeldused SotsMajand. moju'!$D$31+N39*'Eeldused SotsMajand. moju'!$E$25*'Eeldused SotsMajand. moju'!$E$31+N40*'Eeldused SotsMajand. moju'!$F$25*'Eeldused SotsMajand. moju'!$F$31</f>
        <v>2247000</v>
      </c>
      <c r="O44" s="447">
        <f>O36*'Eeldused SotsMajand. moju'!$B$25*'Eeldused SotsMajand. moju'!$B$31+O37*'Eeldused SotsMajand. moju'!$C$25*'Eeldused SotsMajand. moju'!$C$31+O38*'Eeldused SotsMajand. moju'!$D$25*'Eeldused SotsMajand. moju'!$D$31+O39*'Eeldused SotsMajand. moju'!$E$25*'Eeldused SotsMajand. moju'!$E$31+O40*'Eeldused SotsMajand. moju'!$F$25*'Eeldused SotsMajand. moju'!$F$31</f>
        <v>2922000</v>
      </c>
      <c r="P44" s="447">
        <f>P36*'Eeldused SotsMajand. moju'!$B$25*'Eeldused SotsMajand. moju'!$B$31+P37*'Eeldused SotsMajand. moju'!$C$25*'Eeldused SotsMajand. moju'!$C$31+P38*'Eeldused SotsMajand. moju'!$D$25*'Eeldused SotsMajand. moju'!$D$31+P39*'Eeldused SotsMajand. moju'!$E$25*'Eeldused SotsMajand. moju'!$E$31+P40*'Eeldused SotsMajand. moju'!$F$25*'Eeldused SotsMajand. moju'!$F$31</f>
        <v>3447000</v>
      </c>
      <c r="Q44" s="447">
        <f>Q36*'Eeldused SotsMajand. moju'!$B$25*'Eeldused SotsMajand. moju'!$B$31+Q37*'Eeldused SotsMajand. moju'!$C$25*'Eeldused SotsMajand. moju'!$C$31+Q38*'Eeldused SotsMajand. moju'!$D$25*'Eeldused SotsMajand. moju'!$D$31+Q39*'Eeldused SotsMajand. moju'!$E$25*'Eeldused SotsMajand. moju'!$E$31+Q40*'Eeldused SotsMajand. moju'!$F$25*'Eeldused SotsMajand. moju'!$F$31</f>
        <v>4627500</v>
      </c>
      <c r="R44" s="447">
        <f>R36*'Eeldused SotsMajand. moju'!$B$25*'Eeldused SotsMajand. moju'!$B$31+R37*'Eeldused SotsMajand. moju'!$C$25*'Eeldused SotsMajand. moju'!$C$31+R38*'Eeldused SotsMajand. moju'!$D$25*'Eeldused SotsMajand. moju'!$D$31+R39*'Eeldused SotsMajand. moju'!$E$25*'Eeldused SotsMajand. moju'!$E$31+R40*'Eeldused SotsMajand. moju'!$F$25*'Eeldused SotsMajand. moju'!$F$31</f>
        <v>5658000</v>
      </c>
      <c r="S44" s="447">
        <f>S36*'Eeldused SotsMajand. moju'!$B$25*'Eeldused SotsMajand. moju'!$B$31+S37*'Eeldused SotsMajand. moju'!$C$25*'Eeldused SotsMajand. moju'!$C$31+S38*'Eeldused SotsMajand. moju'!$D$25*'Eeldused SotsMajand. moju'!$D$31+S39*'Eeldused SotsMajand. moju'!$E$25*'Eeldused SotsMajand. moju'!$E$31+S40*'Eeldused SotsMajand. moju'!$F$25*'Eeldused SotsMajand. moju'!$F$31</f>
        <v>7008000</v>
      </c>
      <c r="T44" s="390">
        <f>SUM(E44:S44)</f>
        <v>29878500</v>
      </c>
      <c r="U44" s="375"/>
      <c r="V44" s="390">
        <f>SUM($G44:I44)</f>
        <v>300000</v>
      </c>
      <c r="W44" s="390">
        <f>SUM($G44:K44)</f>
        <v>1330500</v>
      </c>
      <c r="X44" s="390">
        <f>SUM($G44:P44)</f>
        <v>12585000</v>
      </c>
      <c r="Y44" s="390">
        <f>SUM($G44:S44)</f>
        <v>29878500</v>
      </c>
      <c r="Z44" s="375"/>
      <c r="AA44" s="375"/>
      <c r="AB44" s="375"/>
      <c r="AC44" s="375"/>
      <c r="AD44" s="375"/>
      <c r="AE44" s="375"/>
      <c r="AF44" s="375"/>
      <c r="AG44" s="375"/>
      <c r="AH44" s="375"/>
    </row>
    <row r="45" spans="1:34" x14ac:dyDescent="0.3">
      <c r="A45" s="457" t="str">
        <f t="shared" si="29"/>
        <v>Töökohad (kokku)</v>
      </c>
      <c r="B45" s="440"/>
      <c r="C45" s="440"/>
      <c r="D45" s="439" t="s">
        <v>517</v>
      </c>
      <c r="E45" s="445"/>
      <c r="F45" s="445"/>
      <c r="G45" s="445">
        <f>G36*'Eeldused SotsMajand. moju'!$B$19+G37*'Eeldused SotsMajand. moju'!$C$19+G38*'Eeldused SotsMajand. moju'!$D$19+G39*'Eeldused SotsMajand. moju'!$E$19+G40*'Eeldused SotsMajand. moju'!$F$19</f>
        <v>0</v>
      </c>
      <c r="H45" s="445">
        <f>H36*'Eeldused SotsMajand. moju'!$B$19+H37*'Eeldused SotsMajand. moju'!$C$19+H38*'Eeldused SotsMajand. moju'!$D$19+H39*'Eeldused SotsMajand. moju'!$E$19+H40*'Eeldused SotsMajand. moju'!$F$19</f>
        <v>3</v>
      </c>
      <c r="I45" s="445">
        <f>I36*'Eeldused SotsMajand. moju'!$B$19+I37*'Eeldused SotsMajand. moju'!$C$19+I38*'Eeldused SotsMajand. moju'!$D$19+I39*'Eeldused SotsMajand. moju'!$E$19+I40*'Eeldused SotsMajand. moju'!$F$19</f>
        <v>9</v>
      </c>
      <c r="J45" s="445">
        <f>J36*'Eeldused SotsMajand. moju'!$B$19+J37*'Eeldused SotsMajand. moju'!$C$19+J38*'Eeldused SotsMajand. moju'!$D$19+J39*'Eeldused SotsMajand. moju'!$E$19+J40*'Eeldused SotsMajand. moju'!$F$19</f>
        <v>15</v>
      </c>
      <c r="K45" s="445">
        <f>K36*'Eeldused SotsMajand. moju'!$B$19+K37*'Eeldused SotsMajand. moju'!$C$19+K38*'Eeldused SotsMajand. moju'!$D$19+K39*'Eeldused SotsMajand. moju'!$E$19+K40*'Eeldused SotsMajand. moju'!$F$19</f>
        <v>22.8</v>
      </c>
      <c r="L45" s="445">
        <f>L36*'Eeldused SotsMajand. moju'!$B$19+L37*'Eeldused SotsMajand. moju'!$C$19+L38*'Eeldused SotsMajand. moju'!$D$19+L39*'Eeldused SotsMajand. moju'!$E$19+L40*'Eeldused SotsMajand. moju'!$F$19</f>
        <v>32.4</v>
      </c>
      <c r="M45" s="445">
        <f>M36*'Eeldused SotsMajand. moju'!$B$19+M37*'Eeldused SotsMajand. moju'!$C$19+M38*'Eeldused SotsMajand. moju'!$D$19+M39*'Eeldused SotsMajand. moju'!$E$19+M40*'Eeldused SotsMajand. moju'!$F$19</f>
        <v>42</v>
      </c>
      <c r="N45" s="445">
        <f>N36*'Eeldused SotsMajand. moju'!$B$19+N37*'Eeldused SotsMajand. moju'!$C$19+N38*'Eeldused SotsMajand. moju'!$D$19+N39*'Eeldused SotsMajand. moju'!$E$19+N40*'Eeldused SotsMajand. moju'!$F$19</f>
        <v>54.6</v>
      </c>
      <c r="O45" s="445">
        <f>O36*'Eeldused SotsMajand. moju'!$B$19+O37*'Eeldused SotsMajand. moju'!$C$19+O38*'Eeldused SotsMajand. moju'!$D$19+O39*'Eeldused SotsMajand. moju'!$E$19+O40*'Eeldused SotsMajand. moju'!$F$19</f>
        <v>67.2</v>
      </c>
      <c r="P45" s="445">
        <f>P36*'Eeldused SotsMajand. moju'!$B$19+P37*'Eeldused SotsMajand. moju'!$C$19+P38*'Eeldused SotsMajand. moju'!$D$19+P39*'Eeldused SotsMajand. moju'!$E$19+P40*'Eeldused SotsMajand. moju'!$F$19</f>
        <v>72</v>
      </c>
      <c r="Q45" s="445">
        <f>Q36*'Eeldused SotsMajand. moju'!$B$19+Q37*'Eeldused SotsMajand. moju'!$C$19+Q38*'Eeldused SotsMajand. moju'!$D$19+Q39*'Eeldused SotsMajand. moju'!$E$19+Q40*'Eeldused SotsMajand. moju'!$F$19</f>
        <v>97.8</v>
      </c>
      <c r="R45" s="445">
        <f>R36*'Eeldused SotsMajand. moju'!$B$19+R37*'Eeldused SotsMajand. moju'!$C$19+R38*'Eeldused SotsMajand. moju'!$D$19+R39*'Eeldused SotsMajand. moju'!$E$19+R40*'Eeldused SotsMajand. moju'!$F$19</f>
        <v>117.6</v>
      </c>
      <c r="S45" s="445">
        <f>S36*'Eeldused SotsMajand. moju'!$B$19+S37*'Eeldused SotsMajand. moju'!$C$19+S38*'Eeldused SotsMajand. moju'!$D$19+S39*'Eeldused SotsMajand. moju'!$E$19+S40*'Eeldused SotsMajand. moju'!$F$19</f>
        <v>142.80000000000001</v>
      </c>
      <c r="T45" s="599">
        <f>S45</f>
        <v>142.80000000000001</v>
      </c>
      <c r="U45" s="375"/>
      <c r="V45" s="387">
        <f>I45</f>
        <v>9</v>
      </c>
      <c r="W45" s="387">
        <f>K45</f>
        <v>22.8</v>
      </c>
      <c r="X45" s="387">
        <f>P45</f>
        <v>72</v>
      </c>
      <c r="Y45" s="387">
        <f>S45</f>
        <v>142.80000000000001</v>
      </c>
      <c r="Z45" s="375"/>
      <c r="AA45" s="375"/>
      <c r="AB45" s="375"/>
      <c r="AC45" s="375"/>
      <c r="AD45" s="375"/>
      <c r="AE45" s="375"/>
      <c r="AF45" s="375"/>
      <c r="AG45" s="375"/>
      <c r="AH45" s="375"/>
    </row>
    <row r="46" spans="1:34" x14ac:dyDescent="0.3">
      <c r="A46" s="442" t="str">
        <f t="shared" si="29"/>
        <v>Töötasufond</v>
      </c>
      <c r="B46" s="450"/>
      <c r="C46" s="446"/>
      <c r="D46" s="439" t="s">
        <v>515</v>
      </c>
      <c r="E46" s="447"/>
      <c r="F46" s="447"/>
      <c r="G46" s="447">
        <f>(G36*'Eeldused SotsMajand. moju'!$B$19*'Eeldused SotsMajand. moju'!$B$21+G37*'Eeldused SotsMajand. moju'!$C$19*'Eeldused SotsMajand. moju'!$C$21+G38*'Eeldused SotsMajand. moju'!$D$19*'Eeldused SotsMajand. moju'!$D$21+G39*'Eeldused SotsMajand. moju'!$E$19*'Eeldused SotsMajand. moju'!$E$21+G40*'Eeldused SotsMajand. moju'!$F$19*'Eeldused SotsMajand. moju'!$F$21)*12</f>
        <v>0</v>
      </c>
      <c r="H46" s="447">
        <f>(H36*'Eeldused SotsMajand. moju'!$B$19*'Eeldused SotsMajand. moju'!$B$21+H37*'Eeldused SotsMajand. moju'!$C$19*'Eeldused SotsMajand. moju'!$C$21+H38*'Eeldused SotsMajand. moju'!$D$19*'Eeldused SotsMajand. moju'!$D$21+H39*'Eeldused SotsMajand. moju'!$E$19*'Eeldused SotsMajand. moju'!$E$21+H40*'Eeldused SotsMajand. moju'!$F$19*'Eeldused SotsMajand. moju'!$F$21)*12</f>
        <v>31406.399999999998</v>
      </c>
      <c r="I46" s="447">
        <f>(I36*'Eeldused SotsMajand. moju'!$B$19*'Eeldused SotsMajand. moju'!$B$21+I37*'Eeldused SotsMajand. moju'!$C$19*'Eeldused SotsMajand. moju'!$C$21+I38*'Eeldused SotsMajand. moju'!$D$19*'Eeldused SotsMajand. moju'!$D$21+I39*'Eeldused SotsMajand. moju'!$E$19*'Eeldused SotsMajand. moju'!$E$21+I40*'Eeldused SotsMajand. moju'!$F$19*'Eeldused SotsMajand. moju'!$F$21)*12</f>
        <v>94219.199999999997</v>
      </c>
      <c r="J46" s="447">
        <f>(J36*'Eeldused SotsMajand. moju'!$B$19*'Eeldused SotsMajand. moju'!$B$21+J37*'Eeldused SotsMajand. moju'!$C$19*'Eeldused SotsMajand. moju'!$C$21+J38*'Eeldused SotsMajand. moju'!$D$19*'Eeldused SotsMajand. moju'!$D$21+J39*'Eeldused SotsMajand. moju'!$E$19*'Eeldused SotsMajand. moju'!$E$21+J40*'Eeldused SotsMajand. moju'!$F$19*'Eeldused SotsMajand. moju'!$F$21)*12</f>
        <v>157032</v>
      </c>
      <c r="K46" s="447">
        <f>(K36*'Eeldused SotsMajand. moju'!$B$19*'Eeldused SotsMajand. moju'!$B$21+K37*'Eeldused SotsMajand. moju'!$C$19*'Eeldused SotsMajand. moju'!$C$21+K38*'Eeldused SotsMajand. moju'!$D$19*'Eeldused SotsMajand. moju'!$D$21+K39*'Eeldused SotsMajand. moju'!$E$19*'Eeldused SotsMajand. moju'!$E$21+K40*'Eeldused SotsMajand. moju'!$F$19*'Eeldused SotsMajand. moju'!$F$21)*12</f>
        <v>255438.72000000003</v>
      </c>
      <c r="L46" s="447">
        <f>(L36*'Eeldused SotsMajand. moju'!$B$19*'Eeldused SotsMajand. moju'!$B$21+L37*'Eeldused SotsMajand. moju'!$C$19*'Eeldused SotsMajand. moju'!$C$21+L38*'Eeldused SotsMajand. moju'!$D$19*'Eeldused SotsMajand. moju'!$D$21+L39*'Eeldused SotsMajand. moju'!$E$19*'Eeldused SotsMajand. moju'!$E$21+L40*'Eeldused SotsMajand. moju'!$F$19*'Eeldused SotsMajand. moju'!$F$21)*12</f>
        <v>389439.36</v>
      </c>
      <c r="M46" s="447">
        <f>(M36*'Eeldused SotsMajand. moju'!$B$19*'Eeldused SotsMajand. moju'!$B$21+M37*'Eeldused SotsMajand. moju'!$C$19*'Eeldused SotsMajand. moju'!$C$21+M38*'Eeldused SotsMajand. moju'!$D$19*'Eeldused SotsMajand. moju'!$D$21+M39*'Eeldused SotsMajand. moju'!$E$19*'Eeldused SotsMajand. moju'!$E$21+M40*'Eeldused SotsMajand. moju'!$F$19*'Eeldused SotsMajand. moju'!$F$21)*12</f>
        <v>543540.09600000014</v>
      </c>
      <c r="N46" s="447">
        <f>(N36*'Eeldused SotsMajand. moju'!$B$19*'Eeldused SotsMajand. moju'!$B$21+N37*'Eeldused SotsMajand. moju'!$C$19*'Eeldused SotsMajand. moju'!$C$21+N38*'Eeldused SotsMajand. moju'!$D$19*'Eeldused SotsMajand. moju'!$D$21+N39*'Eeldused SotsMajand. moju'!$E$19*'Eeldused SotsMajand. moju'!$E$21+N40*'Eeldused SotsMajand. moju'!$F$19*'Eeldused SotsMajand. moju'!$F$21)*12</f>
        <v>749147.32799999998</v>
      </c>
      <c r="O46" s="447">
        <f>(O36*'Eeldused SotsMajand. moju'!$B$19*'Eeldused SotsMajand. moju'!$B$21+O37*'Eeldused SotsMajand. moju'!$C$19*'Eeldused SotsMajand. moju'!$C$21+O38*'Eeldused SotsMajand. moju'!$D$19*'Eeldused SotsMajand. moju'!$D$21+O39*'Eeldused SotsMajand. moju'!$E$19*'Eeldused SotsMajand. moju'!$E$21+O40*'Eeldused SotsMajand. moju'!$F$19*'Eeldused SotsMajand. moju'!$F$21)*12</f>
        <v>954754.56000000006</v>
      </c>
      <c r="P46" s="447">
        <f>(P36*'Eeldused SotsMajand. moju'!$B$19*'Eeldused SotsMajand. moju'!$B$21+P37*'Eeldused SotsMajand. moju'!$C$19*'Eeldused SotsMajand. moju'!$C$21+P38*'Eeldused SotsMajand. moju'!$D$19*'Eeldused SotsMajand. moju'!$D$21+P39*'Eeldused SotsMajand. moju'!$E$19*'Eeldused SotsMajand. moju'!$E$21+P40*'Eeldused SotsMajand. moju'!$F$19*'Eeldused SotsMajand. moju'!$F$21)*12</f>
        <v>1098805.2480000001</v>
      </c>
      <c r="Q46" s="447">
        <f>(Q36*'Eeldused SotsMajand. moju'!$B$19*'Eeldused SotsMajand. moju'!$B$21+Q37*'Eeldused SotsMajand. moju'!$C$19*'Eeldused SotsMajand. moju'!$C$21+Q38*'Eeldused SotsMajand. moju'!$D$19*'Eeldused SotsMajand. moju'!$D$21+Q39*'Eeldused SotsMajand. moju'!$E$19*'Eeldused SotsMajand. moju'!$E$21+Q40*'Eeldused SotsMajand. moju'!$F$19*'Eeldused SotsMajand. moju'!$F$21)*12</f>
        <v>1499550.9120000005</v>
      </c>
      <c r="R46" s="447">
        <f>(R36*'Eeldused SotsMajand. moju'!$B$19*'Eeldused SotsMajand. moju'!$B$21+R37*'Eeldused SotsMajand. moju'!$C$19*'Eeldused SotsMajand. moju'!$C$21+R38*'Eeldused SotsMajand. moju'!$D$19*'Eeldused SotsMajand. moju'!$D$21+R39*'Eeldused SotsMajand. moju'!$E$19*'Eeldused SotsMajand. moju'!$E$21+R40*'Eeldused SotsMajand. moju'!$F$19*'Eeldused SotsMajand. moju'!$F$21)*12</f>
        <v>1901887.8336</v>
      </c>
      <c r="S46" s="447">
        <f>(S36*'Eeldused SotsMajand. moju'!$B$19*'Eeldused SotsMajand. moju'!$B$21+S37*'Eeldused SotsMajand. moju'!$C$19*'Eeldused SotsMajand. moju'!$C$21+S38*'Eeldused SotsMajand. moju'!$D$19*'Eeldused SotsMajand. moju'!$D$21+S39*'Eeldused SotsMajand. moju'!$E$19*'Eeldused SotsMajand. moju'!$E$21+S40*'Eeldused SotsMajand. moju'!$F$19*'Eeldused SotsMajand. moju'!$F$21)*12</f>
        <v>2485460.6208000001</v>
      </c>
      <c r="T46" s="391">
        <f t="shared" ref="T46:T52" si="30">SUM(E46:S46)</f>
        <v>10160682.2784</v>
      </c>
      <c r="U46" s="375"/>
      <c r="V46" s="390">
        <f>SUM($G46:I46)</f>
        <v>125625.59999999999</v>
      </c>
      <c r="W46" s="390">
        <f>SUM($G46:K46)</f>
        <v>538096.32000000007</v>
      </c>
      <c r="X46" s="390">
        <f>SUM($G46:P46)</f>
        <v>4273782.9120000005</v>
      </c>
      <c r="Y46" s="390">
        <f>SUM($G46:S46)</f>
        <v>10160682.2784</v>
      </c>
      <c r="Z46" s="375"/>
      <c r="AA46" s="375"/>
      <c r="AB46" s="375"/>
      <c r="AC46" s="375"/>
      <c r="AD46" s="375"/>
      <c r="AE46" s="375"/>
      <c r="AF46" s="375"/>
      <c r="AG46" s="375"/>
      <c r="AH46" s="375"/>
    </row>
    <row r="47" spans="1:34" x14ac:dyDescent="0.3">
      <c r="A47" s="442" t="str">
        <f t="shared" si="29"/>
        <v>Sotsiaalmaks</v>
      </c>
      <c r="B47" s="451">
        <v>0.33800000000000002</v>
      </c>
      <c r="C47" s="451"/>
      <c r="D47" s="439" t="s">
        <v>515</v>
      </c>
      <c r="E47" s="452"/>
      <c r="F47" s="452"/>
      <c r="G47" s="452">
        <f t="shared" ref="G47:P47" si="31">$B$47*G46</f>
        <v>0</v>
      </c>
      <c r="H47" s="452">
        <f t="shared" si="31"/>
        <v>10615.3632</v>
      </c>
      <c r="I47" s="452">
        <f t="shared" si="31"/>
        <v>31846.089599999999</v>
      </c>
      <c r="J47" s="452">
        <f t="shared" si="31"/>
        <v>53076.816000000006</v>
      </c>
      <c r="K47" s="452">
        <f t="shared" si="31"/>
        <v>86338.287360000017</v>
      </c>
      <c r="L47" s="452">
        <f t="shared" si="31"/>
        <v>131630.50367999999</v>
      </c>
      <c r="M47" s="452">
        <f t="shared" si="31"/>
        <v>183716.55244800006</v>
      </c>
      <c r="N47" s="452">
        <f t="shared" si="31"/>
        <v>253211.796864</v>
      </c>
      <c r="O47" s="452">
        <f t="shared" si="31"/>
        <v>322707.04128000006</v>
      </c>
      <c r="P47" s="452">
        <f t="shared" si="31"/>
        <v>371396.17382400006</v>
      </c>
      <c r="Q47" s="452">
        <f>$B$47*Q46</f>
        <v>506848.20825600019</v>
      </c>
      <c r="R47" s="452">
        <f>$B$47*R46</f>
        <v>642838.0877568</v>
      </c>
      <c r="S47" s="452">
        <f>$B$47*S46</f>
        <v>840085.68983040005</v>
      </c>
      <c r="T47" s="391">
        <f t="shared" si="30"/>
        <v>3434310.6100992006</v>
      </c>
      <c r="U47" s="375"/>
      <c r="V47" s="390">
        <f>SUM($G47:I47)</f>
        <v>42461.452799999999</v>
      </c>
      <c r="W47" s="390">
        <f>SUM($G47:K47)</f>
        <v>181876.55616000004</v>
      </c>
      <c r="X47" s="390">
        <f>SUM($G47:P47)</f>
        <v>1444538.6242560004</v>
      </c>
      <c r="Y47" s="390">
        <f>SUM($G47:S47)</f>
        <v>3434310.6100992006</v>
      </c>
      <c r="Z47" s="375"/>
      <c r="AA47" s="375"/>
      <c r="AB47" s="375"/>
      <c r="AC47" s="375"/>
      <c r="AD47" s="375"/>
      <c r="AE47" s="375"/>
      <c r="AF47" s="375"/>
      <c r="AG47" s="375"/>
      <c r="AH47" s="375"/>
    </row>
    <row r="48" spans="1:34" x14ac:dyDescent="0.3">
      <c r="A48" s="442" t="str">
        <f t="shared" si="29"/>
        <v>Tulumaks</v>
      </c>
      <c r="B48" s="449">
        <v>0.22</v>
      </c>
      <c r="C48" s="449"/>
      <c r="D48" s="439" t="s">
        <v>515</v>
      </c>
      <c r="E48" s="452"/>
      <c r="F48" s="452"/>
      <c r="G48" s="452"/>
      <c r="H48" s="452">
        <f t="shared" ref="H48:S48" si="32">(H46/H45/12-H46*0.02/H45/12-500)*$B$48*12*H45</f>
        <v>2811.2198399999997</v>
      </c>
      <c r="I48" s="452">
        <f t="shared" si="32"/>
        <v>8433.6595199999992</v>
      </c>
      <c r="J48" s="452">
        <f t="shared" si="32"/>
        <v>14056.099199999999</v>
      </c>
      <c r="K48" s="452">
        <f t="shared" si="32"/>
        <v>24976.588032000007</v>
      </c>
      <c r="L48" s="452">
        <f t="shared" si="32"/>
        <v>41195.126016000002</v>
      </c>
      <c r="M48" s="452">
        <f t="shared" si="32"/>
        <v>61747.244697600036</v>
      </c>
      <c r="N48" s="452">
        <f t="shared" si="32"/>
        <v>89444.163916799982</v>
      </c>
      <c r="O48" s="452">
        <f t="shared" si="32"/>
        <v>117141.08313599999</v>
      </c>
      <c r="P48" s="452">
        <f t="shared" si="32"/>
        <v>141862.41146880004</v>
      </c>
      <c r="Q48" s="452">
        <f t="shared" si="32"/>
        <v>194207.1766272001</v>
      </c>
      <c r="R48" s="452">
        <f t="shared" si="32"/>
        <v>254815.01692416001</v>
      </c>
      <c r="S48" s="452">
        <f t="shared" si="32"/>
        <v>347369.30984447995</v>
      </c>
      <c r="T48" s="391">
        <f t="shared" si="30"/>
        <v>1298059.09922304</v>
      </c>
      <c r="U48" s="375"/>
      <c r="V48" s="390">
        <f>SUM($G48:I48)</f>
        <v>11244.879359999999</v>
      </c>
      <c r="W48" s="390">
        <f>SUM($G48:K48)</f>
        <v>50277.566592000003</v>
      </c>
      <c r="X48" s="390">
        <f>SUM($G48:P48)</f>
        <v>501667.59582720004</v>
      </c>
      <c r="Y48" s="390">
        <f>SUM($G48:S48)</f>
        <v>1298059.09922304</v>
      </c>
      <c r="Z48" s="375"/>
      <c r="AA48" s="375"/>
      <c r="AB48" s="375"/>
      <c r="AC48" s="375"/>
      <c r="AD48" s="375"/>
      <c r="AE48" s="375"/>
      <c r="AF48" s="375"/>
      <c r="AG48" s="375"/>
      <c r="AH48" s="375"/>
    </row>
    <row r="49" spans="1:34" x14ac:dyDescent="0.3">
      <c r="A49" s="458" t="str">
        <f t="shared" si="29"/>
        <v>sh riigieelarvesse</v>
      </c>
      <c r="B49" s="453"/>
      <c r="C49" s="453"/>
      <c r="D49" s="439" t="s">
        <v>515</v>
      </c>
      <c r="E49" s="452"/>
      <c r="F49" s="452"/>
      <c r="G49" s="452"/>
      <c r="H49" s="452">
        <f t="shared" ref="H49:S49" si="33">H48-H50</f>
        <v>1184.9291625600001</v>
      </c>
      <c r="I49" s="452">
        <f t="shared" si="33"/>
        <v>3554.7874876800006</v>
      </c>
      <c r="J49" s="452">
        <f t="shared" si="33"/>
        <v>5924.6458127999995</v>
      </c>
      <c r="K49" s="452">
        <f t="shared" si="33"/>
        <v>10527.631855488004</v>
      </c>
      <c r="L49" s="452">
        <f t="shared" si="33"/>
        <v>17363.745615743999</v>
      </c>
      <c r="M49" s="452">
        <f t="shared" si="33"/>
        <v>26026.463640038419</v>
      </c>
      <c r="N49" s="452">
        <f t="shared" si="33"/>
        <v>37700.715090931197</v>
      </c>
      <c r="O49" s="452">
        <f t="shared" si="33"/>
        <v>49374.966541824004</v>
      </c>
      <c r="P49" s="452">
        <f t="shared" si="33"/>
        <v>59795.006434099225</v>
      </c>
      <c r="Q49" s="452">
        <f t="shared" si="33"/>
        <v>81858.324948364854</v>
      </c>
      <c r="R49" s="452">
        <f t="shared" si="33"/>
        <v>107404.52963353344</v>
      </c>
      <c r="S49" s="452">
        <f t="shared" si="33"/>
        <v>146416.1640994483</v>
      </c>
      <c r="T49" s="391">
        <f t="shared" si="30"/>
        <v>547131.91032251145</v>
      </c>
      <c r="U49" s="375"/>
      <c r="V49" s="390">
        <f>SUM($G49:I49)</f>
        <v>4739.7166502400005</v>
      </c>
      <c r="W49" s="390">
        <f>SUM($G49:K49)</f>
        <v>21191.994318528006</v>
      </c>
      <c r="X49" s="390">
        <f>SUM($G49:P49)</f>
        <v>211452.89164116484</v>
      </c>
      <c r="Y49" s="390">
        <f>SUM($G49:S49)</f>
        <v>547131.91032251145</v>
      </c>
      <c r="Z49" s="375"/>
      <c r="AA49" s="375"/>
      <c r="AB49" s="375"/>
      <c r="AC49" s="375"/>
      <c r="AD49" s="375"/>
      <c r="AE49" s="375"/>
      <c r="AF49" s="375"/>
      <c r="AG49" s="375"/>
      <c r="AH49" s="375"/>
    </row>
    <row r="50" spans="1:34" x14ac:dyDescent="0.3">
      <c r="A50" s="458" t="str">
        <f t="shared" si="29"/>
        <v>sh KOV-le (11,57%)</v>
      </c>
      <c r="B50" s="454">
        <v>0.1157</v>
      </c>
      <c r="C50" s="455"/>
      <c r="D50" s="439" t="s">
        <v>515</v>
      </c>
      <c r="E50" s="452"/>
      <c r="F50" s="452"/>
      <c r="G50" s="452"/>
      <c r="H50" s="452">
        <f t="shared" ref="H50:K50" si="34">H48*$B$50/20%</f>
        <v>1626.2906774399996</v>
      </c>
      <c r="I50" s="452">
        <f t="shared" si="34"/>
        <v>4878.8720323199987</v>
      </c>
      <c r="J50" s="452">
        <f t="shared" si="34"/>
        <v>8131.4533871999993</v>
      </c>
      <c r="K50" s="452">
        <f t="shared" si="34"/>
        <v>14448.956176512003</v>
      </c>
      <c r="L50" s="452">
        <f>L48*$B$50/20%</f>
        <v>23831.380400256003</v>
      </c>
      <c r="M50" s="452">
        <f t="shared" ref="M50:S50" si="35">M48*$B$50/20%</f>
        <v>35720.781057561617</v>
      </c>
      <c r="N50" s="452">
        <f t="shared" si="35"/>
        <v>51743.448825868785</v>
      </c>
      <c r="O50" s="452">
        <f t="shared" si="35"/>
        <v>67766.116594175983</v>
      </c>
      <c r="P50" s="452">
        <f t="shared" si="35"/>
        <v>82067.405034700816</v>
      </c>
      <c r="Q50" s="452">
        <f t="shared" si="35"/>
        <v>112348.85167883524</v>
      </c>
      <c r="R50" s="452">
        <f t="shared" si="35"/>
        <v>147410.48729062657</v>
      </c>
      <c r="S50" s="452">
        <f t="shared" si="35"/>
        <v>200953.14574503165</v>
      </c>
      <c r="T50" s="391">
        <f t="shared" si="30"/>
        <v>750927.18890052859</v>
      </c>
      <c r="U50" s="375"/>
      <c r="V50" s="390">
        <f>SUM($G50:I50)</f>
        <v>6505.1627097599985</v>
      </c>
      <c r="W50" s="390">
        <f>SUM($G50:K50)</f>
        <v>29085.572273472004</v>
      </c>
      <c r="X50" s="390">
        <f>SUM($G50:P50)</f>
        <v>290214.7041860352</v>
      </c>
      <c r="Y50" s="390">
        <f>SUM($G50:S50)</f>
        <v>750927.18890052859</v>
      </c>
      <c r="Z50" s="375"/>
      <c r="AA50" s="375"/>
      <c r="AB50" s="375"/>
      <c r="AC50" s="375"/>
      <c r="AD50" s="375"/>
      <c r="AE50" s="375"/>
      <c r="AF50" s="375"/>
      <c r="AG50" s="375"/>
      <c r="AH50" s="375"/>
    </row>
    <row r="51" spans="1:34" x14ac:dyDescent="0.3">
      <c r="A51" s="442" t="str">
        <f t="shared" si="29"/>
        <v>KM</v>
      </c>
      <c r="B51" s="449">
        <v>0.22</v>
      </c>
      <c r="C51" s="449"/>
      <c r="D51" s="439" t="s">
        <v>515</v>
      </c>
      <c r="E51" s="452"/>
      <c r="F51" s="452"/>
      <c r="G51" s="452">
        <f>(G42-G43)*$B$51</f>
        <v>0</v>
      </c>
      <c r="H51" s="452">
        <f t="shared" ref="H51:S51" si="36">(H42-H43)*$B$51</f>
        <v>33000</v>
      </c>
      <c r="I51" s="452">
        <f t="shared" si="36"/>
        <v>99000</v>
      </c>
      <c r="J51" s="452">
        <f t="shared" si="36"/>
        <v>165000</v>
      </c>
      <c r="K51" s="452">
        <f t="shared" si="36"/>
        <v>279378</v>
      </c>
      <c r="L51" s="452">
        <f t="shared" si="36"/>
        <v>442134</v>
      </c>
      <c r="M51" s="452">
        <f t="shared" si="36"/>
        <v>642312</v>
      </c>
      <c r="N51" s="452">
        <f t="shared" si="36"/>
        <v>912912</v>
      </c>
      <c r="O51" s="452">
        <f t="shared" si="36"/>
        <v>1183512</v>
      </c>
      <c r="P51" s="452">
        <f t="shared" si="36"/>
        <v>1384812</v>
      </c>
      <c r="Q51" s="452">
        <f t="shared" si="36"/>
        <v>1862190</v>
      </c>
      <c r="R51" s="452">
        <f t="shared" si="36"/>
        <v>2270268</v>
      </c>
      <c r="S51" s="452">
        <f t="shared" si="36"/>
        <v>2804868</v>
      </c>
      <c r="T51" s="391">
        <f t="shared" si="30"/>
        <v>12079386</v>
      </c>
      <c r="U51" s="375"/>
      <c r="V51" s="390">
        <f>SUM($G51:I51)</f>
        <v>132000</v>
      </c>
      <c r="W51" s="390">
        <f>SUM($G51:K51)</f>
        <v>576378</v>
      </c>
      <c r="X51" s="390">
        <f>SUM($G51:P51)</f>
        <v>5142060</v>
      </c>
      <c r="Y51" s="390">
        <f>SUM($G51:S51)</f>
        <v>12079386</v>
      </c>
      <c r="Z51" s="375"/>
      <c r="AA51" s="375"/>
      <c r="AB51" s="375"/>
      <c r="AC51" s="375"/>
      <c r="AD51" s="375"/>
      <c r="AE51" s="375"/>
      <c r="AF51" s="375"/>
      <c r="AG51" s="375"/>
      <c r="AH51" s="375"/>
    </row>
    <row r="52" spans="1:34" ht="28" x14ac:dyDescent="0.3">
      <c r="A52" s="457" t="str">
        <f t="shared" si="29"/>
        <v>Maksud kokku kõikidesse eelarvetesse</v>
      </c>
      <c r="B52" s="456"/>
      <c r="C52" s="456"/>
      <c r="D52" s="439" t="s">
        <v>515</v>
      </c>
      <c r="E52" s="452"/>
      <c r="F52" s="452"/>
      <c r="G52" s="452">
        <f t="shared" ref="G52:S52" si="37">G47+G48+G51</f>
        <v>0</v>
      </c>
      <c r="H52" s="452">
        <f t="shared" si="37"/>
        <v>46426.583039999998</v>
      </c>
      <c r="I52" s="452">
        <f t="shared" si="37"/>
        <v>139279.74911999999</v>
      </c>
      <c r="J52" s="452">
        <f t="shared" si="37"/>
        <v>232132.91519999999</v>
      </c>
      <c r="K52" s="452">
        <f t="shared" si="37"/>
        <v>390692.87539200002</v>
      </c>
      <c r="L52" s="452">
        <f t="shared" si="37"/>
        <v>614959.62969600002</v>
      </c>
      <c r="M52" s="452">
        <f t="shared" si="37"/>
        <v>887775.79714560008</v>
      </c>
      <c r="N52" s="452">
        <f t="shared" si="37"/>
        <v>1255567.9607807999</v>
      </c>
      <c r="O52" s="452">
        <f t="shared" si="37"/>
        <v>1623360.124416</v>
      </c>
      <c r="P52" s="452">
        <f t="shared" si="37"/>
        <v>1898070.5852928001</v>
      </c>
      <c r="Q52" s="452">
        <f t="shared" si="37"/>
        <v>2563245.3848832003</v>
      </c>
      <c r="R52" s="452">
        <f t="shared" si="37"/>
        <v>3167921.1046809601</v>
      </c>
      <c r="S52" s="452">
        <f t="shared" si="37"/>
        <v>3992322.9996748799</v>
      </c>
      <c r="T52" s="391">
        <f t="shared" si="30"/>
        <v>16811755.70932224</v>
      </c>
      <c r="U52" s="375"/>
      <c r="V52" s="390">
        <f>SUM($G52:I52)</f>
        <v>185706.33215999999</v>
      </c>
      <c r="W52" s="390">
        <f>SUM($G52:K52)</f>
        <v>808532.122752</v>
      </c>
      <c r="X52" s="390">
        <f>SUM($G52:P52)</f>
        <v>7088266.2200832004</v>
      </c>
      <c r="Y52" s="390">
        <f>SUM($G52:S52)</f>
        <v>16811755.70932224</v>
      </c>
      <c r="Z52" s="375"/>
      <c r="AA52" s="375"/>
      <c r="AB52" s="375"/>
      <c r="AC52" s="375"/>
      <c r="AD52" s="375"/>
      <c r="AE52" s="375"/>
      <c r="AF52" s="375"/>
      <c r="AG52" s="375"/>
      <c r="AH52" s="375"/>
    </row>
    <row r="53" spans="1:34" x14ac:dyDescent="0.3">
      <c r="A53" s="457"/>
      <c r="B53" s="456"/>
      <c r="C53" s="456"/>
      <c r="D53" s="439"/>
      <c r="E53" s="452"/>
      <c r="F53" s="452"/>
      <c r="G53" s="452"/>
      <c r="H53" s="391"/>
      <c r="I53" s="391"/>
      <c r="J53" s="391"/>
      <c r="K53" s="391"/>
      <c r="L53" s="391"/>
      <c r="M53" s="391"/>
      <c r="N53" s="391"/>
      <c r="O53" s="391"/>
      <c r="P53" s="391"/>
      <c r="Q53" s="391"/>
      <c r="R53" s="391"/>
      <c r="S53" s="391"/>
      <c r="T53" s="390"/>
      <c r="U53" s="375"/>
      <c r="V53" s="390"/>
      <c r="W53" s="390"/>
      <c r="X53" s="390"/>
      <c r="Y53" s="390"/>
      <c r="Z53" s="375"/>
      <c r="AA53" s="375"/>
      <c r="AB53" s="375"/>
      <c r="AC53" s="375"/>
      <c r="AD53" s="375"/>
      <c r="AE53" s="375"/>
      <c r="AF53" s="375"/>
      <c r="AG53" s="375"/>
      <c r="AH53" s="375"/>
    </row>
    <row r="54" spans="1:34" x14ac:dyDescent="0.3">
      <c r="A54" s="459" t="s">
        <v>388</v>
      </c>
      <c r="B54" s="459"/>
      <c r="C54" s="459"/>
      <c r="D54" s="460" t="s">
        <v>515</v>
      </c>
      <c r="E54" s="461">
        <f t="shared" ref="E54:G54" si="38">SUM(E55:E56,E58)</f>
        <v>0</v>
      </c>
      <c r="F54" s="461">
        <f t="shared" si="38"/>
        <v>0</v>
      </c>
      <c r="G54" s="461">
        <f t="shared" si="38"/>
        <v>0</v>
      </c>
      <c r="H54" s="461">
        <f>SUM(H55:H56,H58)</f>
        <v>46426.583039999998</v>
      </c>
      <c r="I54" s="461">
        <f t="shared" ref="I54:S54" si="39">SUM(I55:I56,I58)</f>
        <v>139279.74911999999</v>
      </c>
      <c r="J54" s="461">
        <f t="shared" si="39"/>
        <v>232132.91519999999</v>
      </c>
      <c r="K54" s="461">
        <f t="shared" si="39"/>
        <v>390692.87539200002</v>
      </c>
      <c r="L54" s="461">
        <f t="shared" si="39"/>
        <v>614959.62969600002</v>
      </c>
      <c r="M54" s="461">
        <f t="shared" si="39"/>
        <v>887775.79714560008</v>
      </c>
      <c r="N54" s="461">
        <f t="shared" si="39"/>
        <v>1255567.9607807999</v>
      </c>
      <c r="O54" s="461">
        <f t="shared" si="39"/>
        <v>1623360.124416</v>
      </c>
      <c r="P54" s="461">
        <f t="shared" si="39"/>
        <v>1898070.5852928001</v>
      </c>
      <c r="Q54" s="461">
        <f t="shared" si="39"/>
        <v>2563245.3848832003</v>
      </c>
      <c r="R54" s="461">
        <f t="shared" si="39"/>
        <v>3167921.1046809601</v>
      </c>
      <c r="S54" s="461">
        <f t="shared" si="39"/>
        <v>3992322.9996748799</v>
      </c>
      <c r="T54" s="734">
        <f t="shared" ref="T54:T58" si="40">SUM(E54:S54)</f>
        <v>16811755.70932224</v>
      </c>
      <c r="U54" s="375"/>
      <c r="V54" s="603">
        <f>SUM($G54:I54)</f>
        <v>185706.33215999999</v>
      </c>
      <c r="W54" s="603">
        <f>SUM($G54:K54)</f>
        <v>808532.122752</v>
      </c>
      <c r="X54" s="603">
        <f>SUM($G54:P54)</f>
        <v>7088266.2200832004</v>
      </c>
      <c r="Y54" s="603">
        <f>SUM($G54:S54)</f>
        <v>16811755.70932224</v>
      </c>
      <c r="Z54" s="375"/>
      <c r="AA54" s="375"/>
      <c r="AB54" s="375"/>
      <c r="AC54" s="375"/>
      <c r="AD54" s="375"/>
      <c r="AE54" s="375"/>
      <c r="AF54" s="375"/>
      <c r="AG54" s="375"/>
      <c r="AH54" s="375"/>
    </row>
    <row r="55" spans="1:34" hidden="1" x14ac:dyDescent="0.3">
      <c r="A55" s="462" t="s">
        <v>389</v>
      </c>
      <c r="B55" s="462"/>
      <c r="C55" s="462"/>
      <c r="D55" s="460" t="s">
        <v>515</v>
      </c>
      <c r="E55" s="461">
        <f t="shared" ref="E55:F55" si="41">E23+E47</f>
        <v>0</v>
      </c>
      <c r="F55" s="461">
        <f t="shared" si="41"/>
        <v>0</v>
      </c>
      <c r="G55" s="461">
        <f>G23+G47</f>
        <v>0</v>
      </c>
      <c r="H55" s="461">
        <f t="shared" ref="H55:S55" si="42">H23+H47</f>
        <v>10615.3632</v>
      </c>
      <c r="I55" s="461">
        <f t="shared" si="42"/>
        <v>31846.089599999999</v>
      </c>
      <c r="J55" s="461">
        <f t="shared" si="42"/>
        <v>53076.816000000006</v>
      </c>
      <c r="K55" s="461">
        <f t="shared" si="42"/>
        <v>86338.287360000017</v>
      </c>
      <c r="L55" s="461">
        <f t="shared" si="42"/>
        <v>131630.50367999999</v>
      </c>
      <c r="M55" s="461">
        <f t="shared" si="42"/>
        <v>183716.55244800006</v>
      </c>
      <c r="N55" s="461">
        <f t="shared" si="42"/>
        <v>253211.796864</v>
      </c>
      <c r="O55" s="461">
        <f t="shared" si="42"/>
        <v>322707.04128000006</v>
      </c>
      <c r="P55" s="461">
        <f t="shared" si="42"/>
        <v>371396.17382400006</v>
      </c>
      <c r="Q55" s="461">
        <f t="shared" si="42"/>
        <v>506848.20825600019</v>
      </c>
      <c r="R55" s="461">
        <f t="shared" si="42"/>
        <v>642838.0877568</v>
      </c>
      <c r="S55" s="461">
        <f t="shared" si="42"/>
        <v>840085.68983040005</v>
      </c>
      <c r="T55" s="394">
        <f t="shared" si="40"/>
        <v>3434310.6100992006</v>
      </c>
      <c r="U55" s="375"/>
      <c r="V55" s="603">
        <f>SUM($G55:I55)</f>
        <v>42461.452799999999</v>
      </c>
      <c r="W55" s="603">
        <f>SUM($G55:K55)</f>
        <v>181876.55616000004</v>
      </c>
      <c r="X55" s="603">
        <f>SUM($G55:P55)</f>
        <v>1444538.6242560004</v>
      </c>
      <c r="Y55" s="603">
        <f>SUM($G55:S55)</f>
        <v>3434310.6100992006</v>
      </c>
      <c r="Z55" s="375"/>
      <c r="AA55" s="375"/>
      <c r="AB55" s="375"/>
      <c r="AC55" s="375"/>
      <c r="AD55" s="375"/>
      <c r="AE55" s="375"/>
      <c r="AF55" s="375"/>
      <c r="AG55" s="375"/>
      <c r="AH55" s="375"/>
    </row>
    <row r="56" spans="1:34" hidden="1" x14ac:dyDescent="0.3">
      <c r="A56" s="462" t="s">
        <v>390</v>
      </c>
      <c r="B56" s="462"/>
      <c r="C56" s="462"/>
      <c r="D56" s="460" t="s">
        <v>515</v>
      </c>
      <c r="E56" s="461">
        <f t="shared" ref="E56:F56" si="43">E24+E48</f>
        <v>0</v>
      </c>
      <c r="F56" s="461">
        <f t="shared" si="43"/>
        <v>0</v>
      </c>
      <c r="G56" s="461">
        <f>G24+G48</f>
        <v>0</v>
      </c>
      <c r="H56" s="461">
        <f t="shared" ref="H56:S56" si="44">H24+H48</f>
        <v>2811.2198399999997</v>
      </c>
      <c r="I56" s="461">
        <f t="shared" si="44"/>
        <v>8433.6595199999992</v>
      </c>
      <c r="J56" s="461">
        <f t="shared" si="44"/>
        <v>14056.099199999999</v>
      </c>
      <c r="K56" s="461">
        <f t="shared" si="44"/>
        <v>24976.588032000007</v>
      </c>
      <c r="L56" s="461">
        <f t="shared" si="44"/>
        <v>41195.126016000002</v>
      </c>
      <c r="M56" s="461">
        <f t="shared" si="44"/>
        <v>61747.244697600036</v>
      </c>
      <c r="N56" s="461">
        <f t="shared" si="44"/>
        <v>89444.163916799982</v>
      </c>
      <c r="O56" s="461">
        <f t="shared" si="44"/>
        <v>117141.08313599999</v>
      </c>
      <c r="P56" s="461">
        <f t="shared" si="44"/>
        <v>141862.41146880004</v>
      </c>
      <c r="Q56" s="461">
        <f t="shared" si="44"/>
        <v>194207.1766272001</v>
      </c>
      <c r="R56" s="461">
        <f t="shared" si="44"/>
        <v>254815.01692416001</v>
      </c>
      <c r="S56" s="461">
        <f t="shared" si="44"/>
        <v>347369.30984447995</v>
      </c>
      <c r="T56" s="394">
        <f t="shared" si="40"/>
        <v>1298059.09922304</v>
      </c>
      <c r="U56" s="375"/>
      <c r="V56" s="603">
        <f>SUM($G56:I56)</f>
        <v>11244.879359999999</v>
      </c>
      <c r="W56" s="603">
        <f>SUM($G56:K56)</f>
        <v>50277.566592000003</v>
      </c>
      <c r="X56" s="603">
        <f>SUM($G56:P56)</f>
        <v>501667.59582720004</v>
      </c>
      <c r="Y56" s="603">
        <f>SUM($G56:S56)</f>
        <v>1298059.09922304</v>
      </c>
      <c r="Z56" s="375"/>
      <c r="AA56" s="375"/>
      <c r="AB56" s="375"/>
      <c r="AC56" s="375"/>
      <c r="AD56" s="375"/>
      <c r="AE56" s="375"/>
      <c r="AF56" s="375"/>
      <c r="AG56" s="375"/>
      <c r="AH56" s="375"/>
    </row>
    <row r="57" spans="1:34" hidden="1" x14ac:dyDescent="0.3">
      <c r="A57" s="463" t="s">
        <v>391</v>
      </c>
      <c r="B57" s="462"/>
      <c r="C57" s="462"/>
      <c r="D57" s="460" t="s">
        <v>515</v>
      </c>
      <c r="E57" s="461">
        <f t="shared" ref="E57:F57" si="45">E50+E26</f>
        <v>0</v>
      </c>
      <c r="F57" s="461">
        <f t="shared" si="45"/>
        <v>0</v>
      </c>
      <c r="G57" s="461">
        <f>G50+G26</f>
        <v>0</v>
      </c>
      <c r="H57" s="461">
        <f t="shared" ref="H57:S57" si="46">H50+H26</f>
        <v>1626.2906774399996</v>
      </c>
      <c r="I57" s="461">
        <f t="shared" si="46"/>
        <v>4878.8720323199987</v>
      </c>
      <c r="J57" s="461">
        <f t="shared" si="46"/>
        <v>8131.4533871999993</v>
      </c>
      <c r="K57" s="461">
        <f t="shared" si="46"/>
        <v>14448.956176512003</v>
      </c>
      <c r="L57" s="461">
        <f t="shared" si="46"/>
        <v>23831.380400256003</v>
      </c>
      <c r="M57" s="461">
        <f t="shared" si="46"/>
        <v>35720.781057561617</v>
      </c>
      <c r="N57" s="461">
        <f t="shared" si="46"/>
        <v>51743.448825868785</v>
      </c>
      <c r="O57" s="461">
        <f t="shared" si="46"/>
        <v>67766.116594175983</v>
      </c>
      <c r="P57" s="461">
        <f t="shared" si="46"/>
        <v>82067.405034700816</v>
      </c>
      <c r="Q57" s="461">
        <f t="shared" si="46"/>
        <v>112348.85167883524</v>
      </c>
      <c r="R57" s="461">
        <f t="shared" si="46"/>
        <v>147410.48729062657</v>
      </c>
      <c r="S57" s="461">
        <f t="shared" si="46"/>
        <v>200953.14574503165</v>
      </c>
      <c r="T57" s="394">
        <f t="shared" si="40"/>
        <v>750927.18890052859</v>
      </c>
      <c r="U57" s="375"/>
      <c r="V57" s="603">
        <f>SUM($G57:I57)</f>
        <v>6505.1627097599985</v>
      </c>
      <c r="W57" s="603">
        <f>SUM($G57:K57)</f>
        <v>29085.572273472004</v>
      </c>
      <c r="X57" s="603">
        <f>SUM($G57:P57)</f>
        <v>290214.7041860352</v>
      </c>
      <c r="Y57" s="603">
        <f>SUM($G57:S57)</f>
        <v>750927.18890052859</v>
      </c>
      <c r="Z57" s="375"/>
      <c r="AA57" s="375"/>
      <c r="AB57" s="375"/>
      <c r="AC57" s="375"/>
      <c r="AD57" s="375"/>
      <c r="AE57" s="375"/>
      <c r="AF57" s="375"/>
      <c r="AG57" s="375"/>
      <c r="AH57" s="375"/>
    </row>
    <row r="58" spans="1:34" hidden="1" x14ac:dyDescent="0.3">
      <c r="A58" s="462" t="s">
        <v>392</v>
      </c>
      <c r="B58" s="462"/>
      <c r="C58" s="462"/>
      <c r="D58" s="460" t="s">
        <v>515</v>
      </c>
      <c r="E58" s="461">
        <f t="shared" ref="E58:F58" si="47">E27+E51</f>
        <v>0</v>
      </c>
      <c r="F58" s="461">
        <f t="shared" si="47"/>
        <v>0</v>
      </c>
      <c r="G58" s="461">
        <f>G27+G51</f>
        <v>0</v>
      </c>
      <c r="H58" s="461">
        <f t="shared" ref="H58:S58" si="48">H27+H51</f>
        <v>33000</v>
      </c>
      <c r="I58" s="461">
        <f t="shared" si="48"/>
        <v>99000</v>
      </c>
      <c r="J58" s="461">
        <f t="shared" si="48"/>
        <v>165000</v>
      </c>
      <c r="K58" s="461">
        <f t="shared" si="48"/>
        <v>279378</v>
      </c>
      <c r="L58" s="461">
        <f t="shared" si="48"/>
        <v>442134</v>
      </c>
      <c r="M58" s="461">
        <f t="shared" si="48"/>
        <v>642312</v>
      </c>
      <c r="N58" s="461">
        <f t="shared" si="48"/>
        <v>912912</v>
      </c>
      <c r="O58" s="461">
        <f t="shared" si="48"/>
        <v>1183512</v>
      </c>
      <c r="P58" s="461">
        <f t="shared" si="48"/>
        <v>1384812</v>
      </c>
      <c r="Q58" s="461">
        <f t="shared" si="48"/>
        <v>1862190</v>
      </c>
      <c r="R58" s="461">
        <f t="shared" si="48"/>
        <v>2270268</v>
      </c>
      <c r="S58" s="461">
        <f t="shared" si="48"/>
        <v>2804868</v>
      </c>
      <c r="T58" s="394">
        <f t="shared" si="40"/>
        <v>12079386</v>
      </c>
      <c r="U58" s="375"/>
      <c r="V58" s="603">
        <f>SUM($G58:I58)</f>
        <v>132000</v>
      </c>
      <c r="W58" s="603">
        <f>SUM($G58:K58)</f>
        <v>576378</v>
      </c>
      <c r="X58" s="603">
        <f>SUM($G58:P58)</f>
        <v>5142060</v>
      </c>
      <c r="Y58" s="603">
        <f>SUM($G58:S58)</f>
        <v>12079386</v>
      </c>
      <c r="Z58" s="375"/>
      <c r="AA58" s="375"/>
      <c r="AB58" s="375"/>
      <c r="AC58" s="375"/>
      <c r="AD58" s="375"/>
      <c r="AE58" s="375"/>
      <c r="AF58" s="375"/>
      <c r="AG58" s="375"/>
      <c r="AH58" s="375"/>
    </row>
    <row r="59" spans="1:34" x14ac:dyDescent="0.3">
      <c r="A59" s="456"/>
      <c r="B59" s="456"/>
      <c r="C59" s="456"/>
      <c r="D59" s="439"/>
      <c r="E59" s="440"/>
      <c r="F59" s="445"/>
      <c r="G59" s="445"/>
      <c r="H59" s="389"/>
      <c r="I59" s="389"/>
      <c r="J59" s="389"/>
      <c r="K59" s="389"/>
      <c r="L59" s="389"/>
      <c r="M59" s="389"/>
      <c r="N59" s="389"/>
      <c r="O59" s="389"/>
      <c r="P59" s="389"/>
      <c r="Q59" s="389"/>
      <c r="R59" s="389"/>
      <c r="S59" s="389"/>
      <c r="T59" s="389"/>
      <c r="U59" s="375"/>
      <c r="V59" s="379"/>
      <c r="W59" s="379"/>
      <c r="X59" s="379"/>
      <c r="Y59" s="379"/>
      <c r="Z59" s="375"/>
      <c r="AA59" s="375"/>
      <c r="AB59" s="375"/>
      <c r="AC59" s="375"/>
      <c r="AD59" s="375"/>
      <c r="AE59" s="375"/>
      <c r="AF59" s="375"/>
      <c r="AG59" s="375"/>
      <c r="AH59" s="375"/>
    </row>
    <row r="60" spans="1:34" x14ac:dyDescent="0.3">
      <c r="A60" s="464" t="s">
        <v>393</v>
      </c>
      <c r="B60" s="464"/>
      <c r="C60" s="464"/>
      <c r="D60" s="460"/>
      <c r="E60" s="465"/>
      <c r="F60" s="465"/>
      <c r="G60" s="465">
        <f>SUM(G61:G62)</f>
        <v>0</v>
      </c>
      <c r="H60" s="465">
        <f t="shared" ref="H60:S60" si="49">SUM(H61:H62)</f>
        <v>3</v>
      </c>
      <c r="I60" s="465">
        <f t="shared" si="49"/>
        <v>9</v>
      </c>
      <c r="J60" s="465">
        <f t="shared" si="49"/>
        <v>15</v>
      </c>
      <c r="K60" s="465">
        <f t="shared" si="49"/>
        <v>22.8</v>
      </c>
      <c r="L60" s="465">
        <f t="shared" si="49"/>
        <v>32.4</v>
      </c>
      <c r="M60" s="465">
        <f t="shared" si="49"/>
        <v>42</v>
      </c>
      <c r="N60" s="465">
        <f t="shared" si="49"/>
        <v>54.6</v>
      </c>
      <c r="O60" s="465">
        <f t="shared" si="49"/>
        <v>67.2</v>
      </c>
      <c r="P60" s="465">
        <f t="shared" si="49"/>
        <v>72</v>
      </c>
      <c r="Q60" s="465">
        <f t="shared" si="49"/>
        <v>97.8</v>
      </c>
      <c r="R60" s="465">
        <f t="shared" si="49"/>
        <v>117.6</v>
      </c>
      <c r="S60" s="465">
        <f t="shared" si="49"/>
        <v>142.80000000000001</v>
      </c>
      <c r="T60" s="392">
        <f>S60</f>
        <v>142.80000000000001</v>
      </c>
      <c r="U60" s="375"/>
      <c r="V60" s="387">
        <f>I60</f>
        <v>9</v>
      </c>
      <c r="W60" s="387">
        <f>K60</f>
        <v>22.8</v>
      </c>
      <c r="X60" s="387">
        <f>P60</f>
        <v>72</v>
      </c>
      <c r="Y60" s="387">
        <f>S60</f>
        <v>142.80000000000001</v>
      </c>
      <c r="Z60" s="375"/>
      <c r="AA60" s="375"/>
      <c r="AB60" s="375"/>
      <c r="AC60" s="375"/>
      <c r="AD60" s="375"/>
      <c r="AE60" s="375"/>
      <c r="AF60" s="375"/>
      <c r="AG60" s="375"/>
      <c r="AH60" s="375"/>
    </row>
    <row r="61" spans="1:34" hidden="1" x14ac:dyDescent="0.3">
      <c r="A61" s="466">
        <f>'Eeldused SotsMajand. moju'!A18</f>
        <v>0</v>
      </c>
      <c r="B61" s="466"/>
      <c r="C61" s="466"/>
      <c r="D61" s="460" t="s">
        <v>517</v>
      </c>
      <c r="E61" s="465"/>
      <c r="F61" s="465"/>
      <c r="G61" s="465">
        <f>G21</f>
        <v>0</v>
      </c>
      <c r="H61" s="465">
        <f t="shared" ref="H61:S61" si="50">H21</f>
        <v>0</v>
      </c>
      <c r="I61" s="465">
        <f t="shared" si="50"/>
        <v>0</v>
      </c>
      <c r="J61" s="465">
        <f t="shared" si="50"/>
        <v>0</v>
      </c>
      <c r="K61" s="465">
        <f t="shared" si="50"/>
        <v>0</v>
      </c>
      <c r="L61" s="465">
        <f t="shared" si="50"/>
        <v>0</v>
      </c>
      <c r="M61" s="465">
        <f t="shared" si="50"/>
        <v>0</v>
      </c>
      <c r="N61" s="465">
        <f t="shared" si="50"/>
        <v>0</v>
      </c>
      <c r="O61" s="465">
        <f t="shared" si="50"/>
        <v>0</v>
      </c>
      <c r="P61" s="465">
        <f t="shared" si="50"/>
        <v>0</v>
      </c>
      <c r="Q61" s="465">
        <f t="shared" si="50"/>
        <v>0</v>
      </c>
      <c r="R61" s="465">
        <f t="shared" si="50"/>
        <v>0</v>
      </c>
      <c r="S61" s="465">
        <f t="shared" si="50"/>
        <v>0</v>
      </c>
      <c r="T61" s="392">
        <f t="shared" ref="T61:T62" si="51">S61</f>
        <v>0</v>
      </c>
      <c r="U61" s="375"/>
      <c r="V61" s="387">
        <f>I61</f>
        <v>0</v>
      </c>
      <c r="W61" s="387">
        <f>K61</f>
        <v>0</v>
      </c>
      <c r="X61" s="387">
        <f>P61</f>
        <v>0</v>
      </c>
      <c r="Y61" s="387">
        <f t="shared" ref="Y61:Y62" si="52">S61</f>
        <v>0</v>
      </c>
      <c r="Z61" s="375"/>
      <c r="AA61" s="375"/>
      <c r="AB61" s="375"/>
      <c r="AC61" s="375"/>
      <c r="AD61" s="375"/>
      <c r="AE61" s="375"/>
      <c r="AF61" s="375"/>
      <c r="AG61" s="375"/>
      <c r="AH61" s="375"/>
    </row>
    <row r="62" spans="1:34" hidden="1" x14ac:dyDescent="0.3">
      <c r="A62" s="466" t="str">
        <f>'Eeldused SotsMajand. moju'!A19</f>
        <v>Töötajate keskmine arv, in.</v>
      </c>
      <c r="B62" s="466"/>
      <c r="C62" s="466"/>
      <c r="D62" s="460" t="s">
        <v>517</v>
      </c>
      <c r="E62" s="467"/>
      <c r="F62" s="467"/>
      <c r="G62" s="467">
        <f>G45</f>
        <v>0</v>
      </c>
      <c r="H62" s="467">
        <f t="shared" ref="H62:S62" si="53">H45</f>
        <v>3</v>
      </c>
      <c r="I62" s="467">
        <f t="shared" si="53"/>
        <v>9</v>
      </c>
      <c r="J62" s="467">
        <f t="shared" si="53"/>
        <v>15</v>
      </c>
      <c r="K62" s="467">
        <f t="shared" si="53"/>
        <v>22.8</v>
      </c>
      <c r="L62" s="467">
        <f t="shared" si="53"/>
        <v>32.4</v>
      </c>
      <c r="M62" s="467">
        <f t="shared" si="53"/>
        <v>42</v>
      </c>
      <c r="N62" s="467">
        <f t="shared" si="53"/>
        <v>54.6</v>
      </c>
      <c r="O62" s="467">
        <f t="shared" si="53"/>
        <v>67.2</v>
      </c>
      <c r="P62" s="467">
        <f t="shared" si="53"/>
        <v>72</v>
      </c>
      <c r="Q62" s="467">
        <f t="shared" si="53"/>
        <v>97.8</v>
      </c>
      <c r="R62" s="467">
        <f t="shared" si="53"/>
        <v>117.6</v>
      </c>
      <c r="S62" s="467">
        <f t="shared" si="53"/>
        <v>142.80000000000001</v>
      </c>
      <c r="T62" s="392">
        <f t="shared" si="51"/>
        <v>142.80000000000001</v>
      </c>
      <c r="U62" s="375"/>
      <c r="V62" s="387">
        <f>I62</f>
        <v>9</v>
      </c>
      <c r="W62" s="387">
        <f>K62</f>
        <v>22.8</v>
      </c>
      <c r="X62" s="387">
        <f>P62</f>
        <v>72</v>
      </c>
      <c r="Y62" s="387">
        <f t="shared" si="52"/>
        <v>142.80000000000001</v>
      </c>
      <c r="Z62" s="375"/>
      <c r="AA62" s="375"/>
      <c r="AB62" s="375"/>
      <c r="AC62" s="375"/>
      <c r="AD62" s="375"/>
      <c r="AE62" s="375"/>
      <c r="AF62" s="375"/>
      <c r="AG62" s="375"/>
      <c r="AH62" s="375"/>
    </row>
    <row r="63" spans="1:34" x14ac:dyDescent="0.3">
      <c r="A63" s="442"/>
      <c r="B63" s="442"/>
      <c r="C63" s="442"/>
      <c r="D63" s="439"/>
      <c r="E63" s="450"/>
      <c r="F63" s="450"/>
      <c r="G63" s="450"/>
      <c r="H63" s="387"/>
      <c r="I63" s="387"/>
      <c r="J63" s="387"/>
      <c r="K63" s="387"/>
      <c r="L63" s="387"/>
      <c r="M63" s="387"/>
      <c r="N63" s="387"/>
      <c r="O63" s="387"/>
      <c r="P63" s="387"/>
      <c r="Q63" s="387"/>
      <c r="R63" s="387"/>
      <c r="S63" s="387"/>
      <c r="T63" s="387"/>
      <c r="U63" s="375"/>
      <c r="V63" s="379"/>
      <c r="W63" s="379"/>
      <c r="X63" s="379"/>
      <c r="Y63" s="379"/>
      <c r="Z63" s="375"/>
      <c r="AA63" s="375"/>
      <c r="AB63" s="375"/>
      <c r="AC63" s="375"/>
      <c r="AD63" s="375"/>
      <c r="AE63" s="375"/>
      <c r="AF63" s="375"/>
      <c r="AG63" s="375"/>
      <c r="AH63" s="375"/>
    </row>
    <row r="64" spans="1:34" x14ac:dyDescent="0.3">
      <c r="A64" s="464" t="s">
        <v>394</v>
      </c>
      <c r="B64" s="466"/>
      <c r="C64" s="466"/>
      <c r="D64" s="460"/>
      <c r="E64" s="467"/>
      <c r="F64" s="467"/>
      <c r="G64" s="467">
        <f>SUM(G65:G66)</f>
        <v>0</v>
      </c>
      <c r="H64" s="467">
        <f t="shared" ref="H64:S64" si="54">SUM(H65:H66)</f>
        <v>3</v>
      </c>
      <c r="I64" s="467">
        <f t="shared" si="54"/>
        <v>9</v>
      </c>
      <c r="J64" s="467">
        <f t="shared" si="54"/>
        <v>15</v>
      </c>
      <c r="K64" s="467">
        <f t="shared" si="54"/>
        <v>21</v>
      </c>
      <c r="L64" s="467">
        <f t="shared" si="54"/>
        <v>27</v>
      </c>
      <c r="M64" s="467">
        <f t="shared" si="54"/>
        <v>33</v>
      </c>
      <c r="N64" s="467">
        <f t="shared" si="54"/>
        <v>42</v>
      </c>
      <c r="O64" s="467">
        <f t="shared" si="54"/>
        <v>51</v>
      </c>
      <c r="P64" s="467">
        <f t="shared" si="54"/>
        <v>60</v>
      </c>
      <c r="Q64" s="467">
        <f t="shared" si="54"/>
        <v>69</v>
      </c>
      <c r="R64" s="467">
        <f t="shared" si="54"/>
        <v>78</v>
      </c>
      <c r="S64" s="467">
        <f t="shared" si="54"/>
        <v>87</v>
      </c>
      <c r="T64" s="393">
        <f>S64</f>
        <v>87</v>
      </c>
      <c r="U64" s="375"/>
      <c r="V64" s="387">
        <f>V65+V66</f>
        <v>9</v>
      </c>
      <c r="W64" s="387">
        <f>W65+W66</f>
        <v>21</v>
      </c>
      <c r="X64" s="387">
        <f>X65+X66</f>
        <v>60</v>
      </c>
      <c r="Y64" s="387">
        <f>Y65+Y66</f>
        <v>87</v>
      </c>
      <c r="Z64" s="375"/>
      <c r="AA64" s="375"/>
      <c r="AB64" s="375"/>
      <c r="AC64" s="375"/>
      <c r="AD64" s="375"/>
      <c r="AE64" s="375"/>
      <c r="AF64" s="375"/>
      <c r="AG64" s="375"/>
      <c r="AH64" s="375"/>
    </row>
    <row r="65" spans="1:34" hidden="1" x14ac:dyDescent="0.3">
      <c r="A65" s="466" t="str">
        <f>A5</f>
        <v>Inkubaator</v>
      </c>
      <c r="B65" s="466"/>
      <c r="C65" s="466"/>
      <c r="D65" s="460"/>
      <c r="E65" s="467"/>
      <c r="F65" s="467"/>
      <c r="G65" s="467">
        <f>G10</f>
        <v>0</v>
      </c>
      <c r="H65" s="467">
        <f t="shared" ref="H65:S65" si="55">H10</f>
        <v>0</v>
      </c>
      <c r="I65" s="467">
        <f t="shared" si="55"/>
        <v>0</v>
      </c>
      <c r="J65" s="467">
        <f t="shared" si="55"/>
        <v>0</v>
      </c>
      <c r="K65" s="467">
        <f t="shared" si="55"/>
        <v>0</v>
      </c>
      <c r="L65" s="467">
        <f t="shared" si="55"/>
        <v>0</v>
      </c>
      <c r="M65" s="467">
        <f t="shared" si="55"/>
        <v>0</v>
      </c>
      <c r="N65" s="467">
        <f t="shared" si="55"/>
        <v>0</v>
      </c>
      <c r="O65" s="467">
        <f t="shared" si="55"/>
        <v>0</v>
      </c>
      <c r="P65" s="467">
        <f t="shared" si="55"/>
        <v>0</v>
      </c>
      <c r="Q65" s="467">
        <f t="shared" si="55"/>
        <v>0</v>
      </c>
      <c r="R65" s="467">
        <f t="shared" si="55"/>
        <v>0</v>
      </c>
      <c r="S65" s="467">
        <f t="shared" si="55"/>
        <v>0</v>
      </c>
      <c r="T65" s="393">
        <f t="shared" ref="T65:T66" si="56">S65</f>
        <v>0</v>
      </c>
      <c r="U65" s="375"/>
      <c r="V65" s="387">
        <f>I65</f>
        <v>0</v>
      </c>
      <c r="W65" s="387">
        <f>K65</f>
        <v>0</v>
      </c>
      <c r="X65" s="387">
        <f>P65</f>
        <v>0</v>
      </c>
      <c r="Y65" s="387">
        <f>S65</f>
        <v>0</v>
      </c>
      <c r="Z65" s="375"/>
      <c r="AA65" s="375"/>
      <c r="AB65" s="375"/>
      <c r="AC65" s="375"/>
      <c r="AD65" s="375"/>
      <c r="AE65" s="375"/>
      <c r="AF65" s="375"/>
      <c r="AG65" s="375"/>
      <c r="AH65" s="375"/>
    </row>
    <row r="66" spans="1:34" hidden="1" x14ac:dyDescent="0.3">
      <c r="A66" s="466" t="str">
        <f>A29</f>
        <v>Loomeinkubaator</v>
      </c>
      <c r="B66" s="466"/>
      <c r="C66" s="466"/>
      <c r="D66" s="460"/>
      <c r="E66" s="467"/>
      <c r="F66" s="467"/>
      <c r="G66" s="467">
        <f>G34</f>
        <v>0</v>
      </c>
      <c r="H66" s="467">
        <f t="shared" ref="H66:S66" si="57">H34</f>
        <v>3</v>
      </c>
      <c r="I66" s="467">
        <f t="shared" si="57"/>
        <v>9</v>
      </c>
      <c r="J66" s="467">
        <f t="shared" si="57"/>
        <v>15</v>
      </c>
      <c r="K66" s="467">
        <f t="shared" si="57"/>
        <v>21</v>
      </c>
      <c r="L66" s="467">
        <f t="shared" si="57"/>
        <v>27</v>
      </c>
      <c r="M66" s="467">
        <f t="shared" si="57"/>
        <v>33</v>
      </c>
      <c r="N66" s="467">
        <f t="shared" si="57"/>
        <v>42</v>
      </c>
      <c r="O66" s="467">
        <f t="shared" si="57"/>
        <v>51</v>
      </c>
      <c r="P66" s="467">
        <f t="shared" si="57"/>
        <v>60</v>
      </c>
      <c r="Q66" s="467">
        <f t="shared" si="57"/>
        <v>69</v>
      </c>
      <c r="R66" s="467">
        <f t="shared" si="57"/>
        <v>78</v>
      </c>
      <c r="S66" s="467">
        <f t="shared" si="57"/>
        <v>87</v>
      </c>
      <c r="T66" s="393">
        <f t="shared" si="56"/>
        <v>87</v>
      </c>
      <c r="U66" s="375"/>
      <c r="V66" s="387">
        <f>I66</f>
        <v>9</v>
      </c>
      <c r="W66" s="387">
        <f>K66</f>
        <v>21</v>
      </c>
      <c r="X66" s="387">
        <f>P66</f>
        <v>60</v>
      </c>
      <c r="Y66" s="387">
        <f>S66</f>
        <v>87</v>
      </c>
      <c r="Z66" s="375"/>
      <c r="AA66" s="375"/>
      <c r="AB66" s="375"/>
      <c r="AC66" s="375"/>
      <c r="AD66" s="375"/>
      <c r="AE66" s="375"/>
      <c r="AF66" s="375"/>
      <c r="AG66" s="375"/>
      <c r="AH66" s="375"/>
    </row>
    <row r="67" spans="1:34" hidden="1" x14ac:dyDescent="0.3">
      <c r="A67" s="442"/>
      <c r="B67" s="440"/>
      <c r="C67" s="440"/>
      <c r="D67" s="439"/>
      <c r="E67" s="445"/>
      <c r="F67" s="445"/>
      <c r="G67" s="445"/>
      <c r="H67" s="389"/>
      <c r="I67" s="389"/>
      <c r="J67" s="389"/>
      <c r="K67" s="389"/>
      <c r="L67" s="389"/>
      <c r="M67" s="389"/>
      <c r="N67" s="389"/>
      <c r="O67" s="389"/>
      <c r="P67" s="389"/>
      <c r="Q67" s="389"/>
      <c r="R67" s="389"/>
      <c r="S67" s="389"/>
      <c r="T67" s="387"/>
      <c r="U67" s="375"/>
      <c r="V67" s="379"/>
      <c r="W67" s="379"/>
      <c r="X67" s="379"/>
      <c r="Y67" s="379"/>
      <c r="Z67" s="375"/>
      <c r="AA67" s="375"/>
      <c r="AB67" s="375"/>
      <c r="AC67" s="375"/>
      <c r="AD67" s="375"/>
      <c r="AE67" s="375"/>
      <c r="AF67" s="375"/>
      <c r="AG67" s="375"/>
      <c r="AH67" s="375"/>
    </row>
    <row r="68" spans="1:34" hidden="1" x14ac:dyDescent="0.3">
      <c r="A68" s="459" t="s">
        <v>395</v>
      </c>
      <c r="B68" s="468"/>
      <c r="C68" s="468"/>
      <c r="D68" s="460"/>
      <c r="E68" s="465"/>
      <c r="F68" s="465"/>
      <c r="G68" s="465"/>
      <c r="H68" s="392"/>
      <c r="I68" s="392"/>
      <c r="J68" s="392"/>
      <c r="K68" s="392"/>
      <c r="L68" s="392"/>
      <c r="M68" s="392"/>
      <c r="N68" s="392"/>
      <c r="O68" s="392"/>
      <c r="P68" s="392"/>
      <c r="Q68" s="392"/>
      <c r="R68" s="392"/>
      <c r="S68" s="392"/>
      <c r="T68" s="393"/>
      <c r="U68" s="375"/>
      <c r="V68" s="379"/>
      <c r="W68" s="379"/>
      <c r="X68" s="379"/>
      <c r="Y68" s="379"/>
      <c r="Z68" s="375"/>
      <c r="AA68" s="375"/>
      <c r="AB68" s="375"/>
      <c r="AC68" s="375"/>
      <c r="AD68" s="375"/>
      <c r="AE68" s="375"/>
      <c r="AF68" s="375"/>
      <c r="AG68" s="375"/>
      <c r="AH68" s="375"/>
    </row>
    <row r="69" spans="1:34" hidden="1" x14ac:dyDescent="0.3">
      <c r="A69" s="466" t="s">
        <v>1</v>
      </c>
      <c r="B69" s="468"/>
      <c r="C69" s="468"/>
      <c r="D69" s="460" t="s">
        <v>515</v>
      </c>
      <c r="E69" s="461"/>
      <c r="F69" s="461"/>
      <c r="G69" s="469">
        <f t="shared" ref="G69:S69" si="58">G18+G42</f>
        <v>0</v>
      </c>
      <c r="H69" s="731">
        <f t="shared" si="58"/>
        <v>150000</v>
      </c>
      <c r="I69" s="731">
        <f t="shared" si="58"/>
        <v>450000</v>
      </c>
      <c r="J69" s="731">
        <f t="shared" si="58"/>
        <v>750000</v>
      </c>
      <c r="K69" s="731">
        <f t="shared" si="58"/>
        <v>1311000</v>
      </c>
      <c r="L69" s="731">
        <f t="shared" si="58"/>
        <v>2133000</v>
      </c>
      <c r="M69" s="731">
        <f t="shared" si="58"/>
        <v>3144000</v>
      </c>
      <c r="N69" s="731">
        <f t="shared" si="58"/>
        <v>4494000</v>
      </c>
      <c r="O69" s="731">
        <f t="shared" si="58"/>
        <v>5844000</v>
      </c>
      <c r="P69" s="731">
        <f t="shared" si="58"/>
        <v>6894000</v>
      </c>
      <c r="Q69" s="731">
        <f t="shared" si="58"/>
        <v>9255000</v>
      </c>
      <c r="R69" s="731">
        <f t="shared" si="58"/>
        <v>11316000</v>
      </c>
      <c r="S69" s="731">
        <f t="shared" si="58"/>
        <v>14016000</v>
      </c>
      <c r="T69" s="394">
        <f>SUM(E69:S69)</f>
        <v>59757000</v>
      </c>
      <c r="U69" s="375"/>
      <c r="V69" s="390">
        <f>SUM($G69:I69)</f>
        <v>600000</v>
      </c>
      <c r="W69" s="390">
        <f>SUM($G69:K69)</f>
        <v>2661000</v>
      </c>
      <c r="X69" s="390">
        <f>SUM($G69:P69)</f>
        <v>25170000</v>
      </c>
      <c r="Y69" s="390">
        <f>SUM($G69:S69)</f>
        <v>59757000</v>
      </c>
      <c r="Z69" s="375"/>
      <c r="AA69" s="375"/>
      <c r="AB69" s="375"/>
      <c r="AC69" s="375"/>
      <c r="AD69" s="375"/>
      <c r="AE69" s="375"/>
      <c r="AF69" s="375"/>
      <c r="AG69" s="375"/>
      <c r="AH69" s="375"/>
    </row>
    <row r="70" spans="1:34" hidden="1" x14ac:dyDescent="0.3">
      <c r="A70" s="466" t="s">
        <v>376</v>
      </c>
      <c r="B70" s="468"/>
      <c r="C70" s="468"/>
      <c r="D70" s="460" t="s">
        <v>515</v>
      </c>
      <c r="E70" s="461"/>
      <c r="F70" s="461"/>
      <c r="G70" s="469">
        <f t="shared" ref="G70:S70" si="59">G19+G43</f>
        <v>0</v>
      </c>
      <c r="H70" s="731">
        <f t="shared" si="59"/>
        <v>0</v>
      </c>
      <c r="I70" s="731">
        <f t="shared" si="59"/>
        <v>0</v>
      </c>
      <c r="J70" s="731">
        <f t="shared" si="59"/>
        <v>0</v>
      </c>
      <c r="K70" s="731">
        <f t="shared" si="59"/>
        <v>41100</v>
      </c>
      <c r="L70" s="731">
        <f t="shared" si="59"/>
        <v>123300</v>
      </c>
      <c r="M70" s="731">
        <f t="shared" si="59"/>
        <v>224400</v>
      </c>
      <c r="N70" s="731">
        <f t="shared" si="59"/>
        <v>344400</v>
      </c>
      <c r="O70" s="731">
        <f t="shared" si="59"/>
        <v>464400</v>
      </c>
      <c r="P70" s="731">
        <f t="shared" si="59"/>
        <v>599400</v>
      </c>
      <c r="Q70" s="731">
        <f t="shared" si="59"/>
        <v>790500</v>
      </c>
      <c r="R70" s="731">
        <f t="shared" si="59"/>
        <v>996600</v>
      </c>
      <c r="S70" s="731">
        <f t="shared" si="59"/>
        <v>1266600</v>
      </c>
      <c r="T70" s="394">
        <f>SUM(E70:S70)</f>
        <v>4850700</v>
      </c>
      <c r="U70" s="375"/>
      <c r="V70" s="390">
        <f>SUM($G70:I70)</f>
        <v>0</v>
      </c>
      <c r="W70" s="390">
        <f>SUM($G70:K70)</f>
        <v>41100</v>
      </c>
      <c r="X70" s="390">
        <f>SUM($G70:P70)</f>
        <v>1797000</v>
      </c>
      <c r="Y70" s="390">
        <f>SUM($G70:S70)</f>
        <v>4850700</v>
      </c>
      <c r="Z70" s="375"/>
      <c r="AA70" s="395"/>
      <c r="AB70" s="375"/>
      <c r="AC70" s="375"/>
      <c r="AD70" s="375"/>
      <c r="AE70" s="375"/>
      <c r="AF70" s="375"/>
      <c r="AG70" s="375"/>
      <c r="AH70" s="375"/>
    </row>
    <row r="71" spans="1:34" hidden="1" x14ac:dyDescent="0.3">
      <c r="A71" s="466" t="s">
        <v>396</v>
      </c>
      <c r="B71" s="465"/>
      <c r="C71" s="470"/>
      <c r="D71" s="460" t="s">
        <v>515</v>
      </c>
      <c r="E71" s="461"/>
      <c r="F71" s="461"/>
      <c r="G71" s="469">
        <f t="shared" ref="G71:S71" si="60">G20+G44</f>
        <v>0</v>
      </c>
      <c r="H71" s="731">
        <f t="shared" si="60"/>
        <v>75000</v>
      </c>
      <c r="I71" s="731">
        <f t="shared" si="60"/>
        <v>225000</v>
      </c>
      <c r="J71" s="731">
        <f t="shared" si="60"/>
        <v>375000</v>
      </c>
      <c r="K71" s="731">
        <f t="shared" si="60"/>
        <v>655500</v>
      </c>
      <c r="L71" s="731">
        <f t="shared" si="60"/>
        <v>1066500</v>
      </c>
      <c r="M71" s="731">
        <f t="shared" si="60"/>
        <v>1572000</v>
      </c>
      <c r="N71" s="731">
        <f t="shared" si="60"/>
        <v>2247000</v>
      </c>
      <c r="O71" s="731">
        <f t="shared" si="60"/>
        <v>2922000</v>
      </c>
      <c r="P71" s="731">
        <f t="shared" si="60"/>
        <v>3447000</v>
      </c>
      <c r="Q71" s="731">
        <f t="shared" si="60"/>
        <v>4627500</v>
      </c>
      <c r="R71" s="731">
        <f t="shared" si="60"/>
        <v>5658000</v>
      </c>
      <c r="S71" s="731">
        <f t="shared" si="60"/>
        <v>7008000</v>
      </c>
      <c r="T71" s="394">
        <f>SUM(E71:S71)</f>
        <v>29878500</v>
      </c>
      <c r="U71" s="375"/>
      <c r="V71" s="390">
        <f>SUM($G71:I71)</f>
        <v>300000</v>
      </c>
      <c r="W71" s="390">
        <f>SUM($G71:K71)</f>
        <v>1330500</v>
      </c>
      <c r="X71" s="390">
        <f>SUM($G71:P71)</f>
        <v>12585000</v>
      </c>
      <c r="Y71" s="390">
        <f>SUM($G71:S71)</f>
        <v>29878500</v>
      </c>
      <c r="Z71" s="375"/>
      <c r="AA71" s="395"/>
      <c r="AB71" s="375"/>
      <c r="AC71" s="375"/>
      <c r="AD71" s="375"/>
      <c r="AE71" s="375"/>
      <c r="AF71" s="375"/>
      <c r="AG71" s="375"/>
      <c r="AH71" s="375"/>
    </row>
    <row r="72" spans="1:34" x14ac:dyDescent="0.3">
      <c r="A72" s="471"/>
      <c r="B72" s="472"/>
      <c r="C72" s="472"/>
      <c r="D72" s="473"/>
      <c r="E72" s="474"/>
      <c r="F72" s="474"/>
      <c r="G72" s="474"/>
      <c r="H72" s="396"/>
      <c r="I72" s="396"/>
      <c r="J72" s="396"/>
      <c r="K72" s="396"/>
      <c r="L72" s="396"/>
      <c r="M72" s="396"/>
      <c r="N72" s="396"/>
      <c r="O72" s="396"/>
      <c r="P72" s="396"/>
      <c r="Q72" s="396"/>
      <c r="R72" s="396"/>
      <c r="S72" s="396"/>
      <c r="T72" s="397"/>
      <c r="U72" s="375"/>
      <c r="V72" s="375"/>
      <c r="W72" s="375"/>
      <c r="X72" s="375"/>
      <c r="Y72" s="375"/>
      <c r="Z72" s="375"/>
      <c r="AA72" s="375"/>
      <c r="AB72" s="375"/>
      <c r="AC72" s="375"/>
      <c r="AD72" s="375"/>
      <c r="AE72" s="375"/>
      <c r="AF72" s="375"/>
      <c r="AG72" s="375"/>
      <c r="AH72" s="375"/>
    </row>
    <row r="73" spans="1:34" x14ac:dyDescent="0.3">
      <c r="A73" s="475" t="s">
        <v>378</v>
      </c>
      <c r="B73" s="472"/>
      <c r="C73" s="472"/>
      <c r="D73" s="473"/>
      <c r="E73" s="474"/>
      <c r="F73" s="474"/>
      <c r="G73" s="474"/>
      <c r="H73" s="396"/>
      <c r="I73" s="396"/>
      <c r="J73" s="396"/>
      <c r="K73" s="396"/>
      <c r="L73" s="396"/>
      <c r="M73" s="396"/>
      <c r="N73" s="396"/>
      <c r="O73" s="396"/>
      <c r="P73" s="396"/>
      <c r="Q73" s="396"/>
      <c r="R73" s="396"/>
      <c r="S73" s="396"/>
      <c r="T73" s="397"/>
      <c r="U73" s="375"/>
      <c r="V73" s="375"/>
      <c r="W73" s="375"/>
      <c r="X73" s="375"/>
      <c r="Y73" s="375"/>
      <c r="Z73" s="375"/>
      <c r="AA73" s="375"/>
      <c r="AB73" s="375"/>
      <c r="AC73" s="375"/>
      <c r="AD73" s="375"/>
      <c r="AE73" s="375"/>
      <c r="AF73" s="375"/>
      <c r="AG73" s="375"/>
      <c r="AH73" s="375"/>
    </row>
    <row r="74" spans="1:34" x14ac:dyDescent="0.3">
      <c r="A74" s="704"/>
      <c r="B74" s="704"/>
      <c r="C74" s="704"/>
      <c r="D74" s="705"/>
      <c r="E74" s="437">
        <f>E3</f>
        <v>2024</v>
      </c>
      <c r="F74" s="437">
        <f t="shared" ref="F74:S74" si="61">F3</f>
        <v>2025</v>
      </c>
      <c r="G74" s="437">
        <f t="shared" si="61"/>
        <v>2026</v>
      </c>
      <c r="H74" s="437">
        <f t="shared" si="61"/>
        <v>2027</v>
      </c>
      <c r="I74" s="437">
        <f t="shared" si="61"/>
        <v>2028</v>
      </c>
      <c r="J74" s="437">
        <f t="shared" si="61"/>
        <v>2029</v>
      </c>
      <c r="K74" s="437">
        <f t="shared" si="61"/>
        <v>2030</v>
      </c>
      <c r="L74" s="437">
        <f t="shared" si="61"/>
        <v>2031</v>
      </c>
      <c r="M74" s="437">
        <f t="shared" si="61"/>
        <v>2032</v>
      </c>
      <c r="N74" s="437">
        <f t="shared" si="61"/>
        <v>2033</v>
      </c>
      <c r="O74" s="437">
        <f t="shared" si="61"/>
        <v>2034</v>
      </c>
      <c r="P74" s="437">
        <f t="shared" si="61"/>
        <v>2035</v>
      </c>
      <c r="Q74" s="437">
        <f t="shared" si="61"/>
        <v>2036</v>
      </c>
      <c r="R74" s="437">
        <f t="shared" si="61"/>
        <v>2037</v>
      </c>
      <c r="S74" s="437">
        <f t="shared" si="61"/>
        <v>2038</v>
      </c>
      <c r="T74" s="437" t="str">
        <f>T3</f>
        <v>Kokku</v>
      </c>
      <c r="U74" s="375"/>
      <c r="V74" s="375"/>
      <c r="X74" s="375"/>
      <c r="Y74" s="375"/>
      <c r="Z74" s="375"/>
      <c r="AA74" s="375"/>
      <c r="AB74" s="375"/>
      <c r="AC74" s="375"/>
      <c r="AD74" s="375"/>
      <c r="AE74" s="375"/>
      <c r="AF74" s="375"/>
      <c r="AG74" s="375"/>
      <c r="AH74" s="375"/>
    </row>
    <row r="75" spans="1:34" x14ac:dyDescent="0.3">
      <c r="A75" s="476" t="s">
        <v>379</v>
      </c>
      <c r="B75" s="476"/>
      <c r="C75" s="476"/>
      <c r="D75" s="439" t="s">
        <v>515</v>
      </c>
      <c r="E75" s="452">
        <f>'1. Projekti elluviimise kulud'!D41</f>
        <v>50000</v>
      </c>
      <c r="F75" s="452">
        <f>'1. Projekti elluviimise kulud'!E41</f>
        <v>10938000</v>
      </c>
      <c r="G75" s="452">
        <f>'1. Projekti elluviimise kulud'!F41</f>
        <v>2000</v>
      </c>
      <c r="H75" s="391">
        <f>'[2]1. Projekti elluviimise kulud'!G45*'[2]5. Abikõlblik kulu'!$C$18</f>
        <v>0</v>
      </c>
      <c r="I75" s="391">
        <f>'[1]Денежный поток'!H16+'[1]Денежный поток'!H17</f>
        <v>0</v>
      </c>
      <c r="J75" s="391">
        <f>'[1]Денежный поток'!I16+'[1]Денежный поток'!I17</f>
        <v>0</v>
      </c>
      <c r="K75" s="391">
        <f>'[1]Денежный поток'!J16+'[1]Денежный поток'!J17</f>
        <v>0</v>
      </c>
      <c r="L75" s="391">
        <f>'[1]Денежный поток'!K16+'[1]Денежный поток'!K17</f>
        <v>0</v>
      </c>
      <c r="M75" s="391">
        <f>'[1]Денежный поток'!L16+'[1]Денежный поток'!L17</f>
        <v>0</v>
      </c>
      <c r="N75" s="391">
        <f>'[1]Денежный поток'!M16+'[1]Денежный поток'!M17</f>
        <v>0</v>
      </c>
      <c r="O75" s="391">
        <f>'[1]Денежный поток'!N16+'[1]Денежный поток'!N17</f>
        <v>0</v>
      </c>
      <c r="P75" s="391">
        <f>'[1]Денежный поток'!O16+'[1]Денежный поток'!O17</f>
        <v>0</v>
      </c>
      <c r="Q75" s="391">
        <f>'[1]Денежный поток'!P16+'[1]Денежный поток'!P17</f>
        <v>0</v>
      </c>
      <c r="R75" s="391">
        <f>'[1]Денежный поток'!Q16+'[1]Денежный поток'!Q17</f>
        <v>0</v>
      </c>
      <c r="S75" s="391">
        <f>'[1]Денежный поток'!R16+'[1]Денежный поток'!R17</f>
        <v>0</v>
      </c>
      <c r="T75" s="603">
        <f>SUM(E75:S75)</f>
        <v>10990000</v>
      </c>
      <c r="U75" s="375"/>
      <c r="V75" s="395"/>
      <c r="W75" s="395"/>
      <c r="X75" s="395"/>
      <c r="Y75" s="395"/>
      <c r="Z75" s="375"/>
      <c r="AA75" s="375"/>
      <c r="AB75" s="375"/>
      <c r="AC75" s="375"/>
      <c r="AD75" s="375"/>
      <c r="AE75" s="375"/>
      <c r="AF75" s="375"/>
      <c r="AG75" s="375"/>
      <c r="AH75" s="375"/>
    </row>
    <row r="76" spans="1:34" x14ac:dyDescent="0.3">
      <c r="A76" s="472"/>
      <c r="B76" s="472"/>
      <c r="C76" s="472"/>
      <c r="D76" s="473"/>
      <c r="E76" s="472"/>
      <c r="F76" s="472"/>
      <c r="G76" s="472"/>
      <c r="U76" s="375"/>
      <c r="V76" s="375"/>
      <c r="W76" s="375"/>
      <c r="X76" s="375"/>
      <c r="Y76" s="375"/>
      <c r="Z76" s="375"/>
      <c r="AA76" s="375"/>
      <c r="AB76" s="375"/>
      <c r="AC76" s="375"/>
      <c r="AD76" s="375"/>
      <c r="AE76" s="375"/>
      <c r="AF76" s="375"/>
      <c r="AG76" s="375"/>
      <c r="AH76" s="375"/>
    </row>
    <row r="77" spans="1:34" x14ac:dyDescent="0.3">
      <c r="A77" s="476" t="s">
        <v>380</v>
      </c>
      <c r="B77" s="476"/>
      <c r="C77" s="476"/>
      <c r="D77" s="439" t="s">
        <v>515</v>
      </c>
      <c r="E77" s="452">
        <f t="shared" ref="E77:S77" si="62">E54</f>
        <v>0</v>
      </c>
      <c r="F77" s="452">
        <f t="shared" si="62"/>
        <v>0</v>
      </c>
      <c r="G77" s="452">
        <f t="shared" si="62"/>
        <v>0</v>
      </c>
      <c r="H77" s="391">
        <f t="shared" si="62"/>
        <v>46426.583039999998</v>
      </c>
      <c r="I77" s="391">
        <f t="shared" si="62"/>
        <v>139279.74911999999</v>
      </c>
      <c r="J77" s="391">
        <f t="shared" si="62"/>
        <v>232132.91519999999</v>
      </c>
      <c r="K77" s="391">
        <f t="shared" si="62"/>
        <v>390692.87539200002</v>
      </c>
      <c r="L77" s="391">
        <f t="shared" si="62"/>
        <v>614959.62969600002</v>
      </c>
      <c r="M77" s="391">
        <f t="shared" si="62"/>
        <v>887775.79714560008</v>
      </c>
      <c r="N77" s="391">
        <f t="shared" si="62"/>
        <v>1255567.9607807999</v>
      </c>
      <c r="O77" s="391">
        <f t="shared" si="62"/>
        <v>1623360.124416</v>
      </c>
      <c r="P77" s="391">
        <f t="shared" si="62"/>
        <v>1898070.5852928001</v>
      </c>
      <c r="Q77" s="391">
        <f t="shared" si="62"/>
        <v>2563245.3848832003</v>
      </c>
      <c r="R77" s="391">
        <f t="shared" si="62"/>
        <v>3167921.1046809601</v>
      </c>
      <c r="S77" s="391">
        <f t="shared" si="62"/>
        <v>3992322.9996748799</v>
      </c>
      <c r="T77" s="391">
        <f>SUM(E77:S77)</f>
        <v>16811755.70932224</v>
      </c>
      <c r="U77" s="375"/>
      <c r="V77" s="375"/>
      <c r="W77" s="375"/>
      <c r="X77" s="375"/>
      <c r="Y77" s="375"/>
      <c r="Z77" s="375"/>
      <c r="AA77" s="375"/>
      <c r="AB77" s="375"/>
      <c r="AC77" s="375"/>
      <c r="AD77" s="375"/>
      <c r="AE77" s="375"/>
      <c r="AF77" s="375"/>
      <c r="AG77" s="375"/>
      <c r="AH77" s="375"/>
    </row>
    <row r="78" spans="1:34" x14ac:dyDescent="0.3">
      <c r="A78" s="471"/>
      <c r="B78" s="472"/>
      <c r="C78" s="472"/>
      <c r="D78" s="473"/>
      <c r="E78" s="478"/>
      <c r="F78" s="478"/>
      <c r="G78" s="478"/>
      <c r="H78" s="399"/>
      <c r="I78" s="399"/>
      <c r="J78" s="399"/>
      <c r="K78" s="399"/>
      <c r="L78" s="399"/>
      <c r="M78" s="399"/>
      <c r="N78" s="399"/>
      <c r="O78" s="399"/>
      <c r="P78" s="399"/>
      <c r="Q78" s="399"/>
      <c r="R78" s="399"/>
      <c r="S78" s="399"/>
      <c r="T78" s="399"/>
      <c r="U78" s="375"/>
      <c r="V78" s="375"/>
      <c r="W78" s="375"/>
      <c r="X78" s="375"/>
      <c r="Y78" s="375"/>
      <c r="Z78" s="375"/>
      <c r="AA78" s="375"/>
      <c r="AB78" s="375"/>
      <c r="AC78" s="375"/>
      <c r="AD78" s="375"/>
      <c r="AE78" s="375"/>
      <c r="AF78" s="375"/>
      <c r="AG78" s="375"/>
      <c r="AH78" s="375"/>
    </row>
    <row r="79" spans="1:34" x14ac:dyDescent="0.3">
      <c r="A79" s="440" t="s">
        <v>256</v>
      </c>
      <c r="B79" s="440"/>
      <c r="C79" s="440"/>
      <c r="D79" s="439" t="s">
        <v>515</v>
      </c>
      <c r="E79" s="477">
        <f t="shared" ref="E79:S79" si="63">E77-E75</f>
        <v>-50000</v>
      </c>
      <c r="F79" s="477">
        <f t="shared" si="63"/>
        <v>-10938000</v>
      </c>
      <c r="G79" s="477">
        <f t="shared" si="63"/>
        <v>-2000</v>
      </c>
      <c r="H79" s="398">
        <f t="shared" si="63"/>
        <v>46426.583039999998</v>
      </c>
      <c r="I79" s="391">
        <f t="shared" si="63"/>
        <v>139279.74911999999</v>
      </c>
      <c r="J79" s="391">
        <f t="shared" si="63"/>
        <v>232132.91519999999</v>
      </c>
      <c r="K79" s="391">
        <f t="shared" si="63"/>
        <v>390692.87539200002</v>
      </c>
      <c r="L79" s="391">
        <f t="shared" si="63"/>
        <v>614959.62969600002</v>
      </c>
      <c r="M79" s="391">
        <f t="shared" si="63"/>
        <v>887775.79714560008</v>
      </c>
      <c r="N79" s="391">
        <f t="shared" si="63"/>
        <v>1255567.9607807999</v>
      </c>
      <c r="O79" s="391">
        <f t="shared" si="63"/>
        <v>1623360.124416</v>
      </c>
      <c r="P79" s="391">
        <f t="shared" si="63"/>
        <v>1898070.5852928001</v>
      </c>
      <c r="Q79" s="391">
        <f t="shared" si="63"/>
        <v>2563245.3848832003</v>
      </c>
      <c r="R79" s="391">
        <f t="shared" si="63"/>
        <v>3167921.1046809601</v>
      </c>
      <c r="S79" s="391">
        <f t="shared" si="63"/>
        <v>3992322.9996748799</v>
      </c>
      <c r="T79" s="391">
        <f>SUM(E79:S79)</f>
        <v>5821755.7093222421</v>
      </c>
      <c r="U79" s="375"/>
      <c r="V79" s="375"/>
      <c r="W79" s="375"/>
      <c r="X79" s="375"/>
      <c r="Y79" s="375"/>
      <c r="Z79" s="375"/>
      <c r="AA79" s="375"/>
      <c r="AB79" s="375"/>
      <c r="AC79" s="375"/>
      <c r="AD79" s="375"/>
      <c r="AE79" s="375"/>
      <c r="AF79" s="375"/>
      <c r="AG79" s="375"/>
      <c r="AH79" s="375"/>
    </row>
    <row r="80" spans="1:34" x14ac:dyDescent="0.3">
      <c r="A80" s="472"/>
      <c r="B80" s="472"/>
      <c r="C80" s="472"/>
      <c r="D80" s="473"/>
      <c r="E80" s="479"/>
      <c r="F80" s="479"/>
      <c r="G80" s="479"/>
      <c r="H80" s="400"/>
      <c r="I80" s="399"/>
      <c r="J80" s="399"/>
      <c r="K80" s="399"/>
      <c r="L80" s="399"/>
      <c r="M80" s="399"/>
      <c r="N80" s="399"/>
      <c r="O80" s="399"/>
      <c r="P80" s="399"/>
      <c r="Q80" s="399"/>
      <c r="R80" s="399"/>
      <c r="S80" s="399"/>
      <c r="T80" s="399"/>
      <c r="U80" s="375"/>
      <c r="V80" s="375"/>
      <c r="W80" s="375"/>
      <c r="X80" s="375"/>
      <c r="Y80" s="375"/>
      <c r="Z80" s="375"/>
      <c r="AA80" s="375"/>
      <c r="AB80" s="375"/>
      <c r="AC80" s="375"/>
      <c r="AD80" s="375"/>
      <c r="AE80" s="375"/>
      <c r="AF80" s="375"/>
      <c r="AG80" s="375"/>
      <c r="AH80" s="375"/>
    </row>
    <row r="81" spans="1:34" ht="15.5" x14ac:dyDescent="0.35">
      <c r="A81" s="480" t="s">
        <v>381</v>
      </c>
      <c r="B81" s="480"/>
      <c r="C81" s="480"/>
      <c r="D81" s="439" t="s">
        <v>260</v>
      </c>
      <c r="E81" s="477">
        <f>E79</f>
        <v>-50000</v>
      </c>
      <c r="F81" s="477">
        <f t="shared" ref="F81:S81" si="64">E81+F79</f>
        <v>-10988000</v>
      </c>
      <c r="G81" s="477">
        <f t="shared" si="64"/>
        <v>-10990000</v>
      </c>
      <c r="H81" s="398">
        <f t="shared" si="64"/>
        <v>-10943573.416959999</v>
      </c>
      <c r="I81" s="398">
        <f t="shared" si="64"/>
        <v>-10804293.667839998</v>
      </c>
      <c r="J81" s="398">
        <f t="shared" si="64"/>
        <v>-10572160.752639998</v>
      </c>
      <c r="K81" s="398">
        <f t="shared" si="64"/>
        <v>-10181467.877247998</v>
      </c>
      <c r="L81" s="398">
        <f t="shared" si="64"/>
        <v>-9566508.2475519981</v>
      </c>
      <c r="M81" s="398">
        <f t="shared" si="64"/>
        <v>-8678732.4504063986</v>
      </c>
      <c r="N81" s="398">
        <f t="shared" si="64"/>
        <v>-7423164.4896255992</v>
      </c>
      <c r="O81" s="398">
        <f t="shared" si="64"/>
        <v>-5799804.365209599</v>
      </c>
      <c r="P81" s="398">
        <f t="shared" si="64"/>
        <v>-3901733.7799167987</v>
      </c>
      <c r="Q81" s="398">
        <f t="shared" si="64"/>
        <v>-1338488.3950335984</v>
      </c>
      <c r="R81" s="398">
        <f t="shared" si="64"/>
        <v>1829432.7096473617</v>
      </c>
      <c r="S81" s="398">
        <f t="shared" si="64"/>
        <v>5821755.7093222421</v>
      </c>
      <c r="T81" s="398"/>
      <c r="U81" s="375"/>
      <c r="V81" s="375"/>
      <c r="W81" s="375"/>
      <c r="X81" s="375"/>
      <c r="Y81" s="375"/>
      <c r="Z81" s="375"/>
      <c r="AA81" s="375"/>
      <c r="AB81" s="375"/>
      <c r="AC81" s="375"/>
      <c r="AD81" s="375"/>
      <c r="AE81" s="375"/>
      <c r="AF81" s="375"/>
      <c r="AG81" s="375"/>
      <c r="AH81" s="375"/>
    </row>
    <row r="82" spans="1:34" x14ac:dyDescent="0.3">
      <c r="A82" s="472"/>
      <c r="B82" s="472"/>
      <c r="C82" s="472"/>
      <c r="D82" s="473"/>
      <c r="E82" s="472"/>
      <c r="F82" s="472"/>
      <c r="G82" s="472"/>
      <c r="U82" s="375"/>
      <c r="V82" s="375"/>
      <c r="W82" s="375"/>
      <c r="X82" s="375"/>
      <c r="Y82" s="375"/>
      <c r="Z82" s="375"/>
      <c r="AA82" s="375"/>
      <c r="AB82" s="375"/>
      <c r="AC82" s="375"/>
      <c r="AD82" s="375"/>
      <c r="AE82" s="375"/>
      <c r="AF82" s="375"/>
      <c r="AG82" s="375"/>
      <c r="AH82" s="375"/>
    </row>
    <row r="83" spans="1:34" x14ac:dyDescent="0.3">
      <c r="A83" s="472" t="s">
        <v>382</v>
      </c>
      <c r="B83" s="472"/>
      <c r="C83" s="472"/>
      <c r="D83" s="481">
        <v>0.04</v>
      </c>
      <c r="E83" s="472"/>
      <c r="F83" s="472"/>
      <c r="G83" s="472"/>
      <c r="U83" s="375"/>
      <c r="V83" s="375"/>
      <c r="W83" s="375"/>
      <c r="X83" s="375"/>
      <c r="Y83" s="375"/>
      <c r="Z83" s="375"/>
      <c r="AA83" s="375"/>
      <c r="AB83" s="375"/>
      <c r="AC83" s="375"/>
      <c r="AD83" s="375"/>
      <c r="AE83" s="375"/>
      <c r="AF83" s="375"/>
      <c r="AG83" s="375"/>
      <c r="AH83" s="375"/>
    </row>
    <row r="84" spans="1:34" ht="15.5" x14ac:dyDescent="0.35">
      <c r="A84" s="480" t="s">
        <v>383</v>
      </c>
      <c r="B84" s="480"/>
      <c r="C84" s="480"/>
      <c r="D84" s="381"/>
      <c r="E84" s="401">
        <v>1</v>
      </c>
      <c r="F84" s="401">
        <f>1+D83</f>
        <v>1.04</v>
      </c>
      <c r="G84" s="401">
        <f>$F$84*F84</f>
        <v>1.0816000000000001</v>
      </c>
      <c r="H84" s="401">
        <f>$F$84*G84</f>
        <v>1.1248640000000001</v>
      </c>
      <c r="I84" s="401">
        <f t="shared" ref="I84:S84" si="65">$F$84*H84</f>
        <v>1.1698585600000002</v>
      </c>
      <c r="J84" s="401">
        <f t="shared" si="65"/>
        <v>1.2166529024000003</v>
      </c>
      <c r="K84" s="401">
        <f t="shared" si="65"/>
        <v>1.2653190184960004</v>
      </c>
      <c r="L84" s="401">
        <f t="shared" si="65"/>
        <v>1.3159317792358405</v>
      </c>
      <c r="M84" s="401">
        <f t="shared" si="65"/>
        <v>1.3685690504052741</v>
      </c>
      <c r="N84" s="401">
        <f t="shared" si="65"/>
        <v>1.4233118124214852</v>
      </c>
      <c r="O84" s="401">
        <f t="shared" si="65"/>
        <v>1.4802442849183446</v>
      </c>
      <c r="P84" s="401">
        <f t="shared" si="65"/>
        <v>1.5394540563150785</v>
      </c>
      <c r="Q84" s="401">
        <f t="shared" si="65"/>
        <v>1.6010322185676817</v>
      </c>
      <c r="R84" s="401">
        <f t="shared" si="65"/>
        <v>1.6650735073103891</v>
      </c>
      <c r="S84" s="401">
        <f t="shared" si="65"/>
        <v>1.7316764476028046</v>
      </c>
      <c r="U84" s="375"/>
      <c r="V84" s="375"/>
      <c r="W84" s="375"/>
      <c r="X84" s="375"/>
      <c r="Y84" s="375"/>
      <c r="Z84" s="375"/>
      <c r="AA84" s="375"/>
      <c r="AB84" s="375"/>
      <c r="AC84" s="375"/>
      <c r="AD84" s="375"/>
      <c r="AE84" s="375"/>
      <c r="AF84" s="375"/>
      <c r="AG84" s="375"/>
      <c r="AH84" s="375"/>
    </row>
    <row r="85" spans="1:34" ht="15.5" x14ac:dyDescent="0.35">
      <c r="A85" s="482"/>
      <c r="B85" s="482"/>
      <c r="C85" s="482"/>
      <c r="D85" s="483"/>
      <c r="E85" s="402"/>
      <c r="F85" s="402"/>
      <c r="G85" s="402"/>
      <c r="H85" s="402"/>
      <c r="I85" s="402"/>
      <c r="J85" s="402"/>
      <c r="K85" s="402"/>
      <c r="L85" s="402"/>
      <c r="M85" s="402"/>
      <c r="N85" s="402"/>
      <c r="O85" s="402"/>
      <c r="P85" s="402"/>
      <c r="Q85" s="402"/>
      <c r="R85" s="402"/>
      <c r="S85" s="402"/>
      <c r="U85" s="375"/>
      <c r="V85" s="375"/>
      <c r="W85" s="375"/>
      <c r="X85" s="375"/>
      <c r="Y85" s="375"/>
      <c r="Z85" s="375"/>
      <c r="AA85" s="375"/>
      <c r="AB85" s="375"/>
      <c r="AC85" s="375"/>
      <c r="AD85" s="375"/>
      <c r="AE85" s="375"/>
      <c r="AF85" s="375"/>
      <c r="AG85" s="375"/>
      <c r="AH85" s="375"/>
    </row>
    <row r="86" spans="1:34" ht="15.5" x14ac:dyDescent="0.35">
      <c r="A86" s="480" t="s">
        <v>384</v>
      </c>
      <c r="B86" s="480"/>
      <c r="C86" s="480"/>
      <c r="D86" s="381"/>
      <c r="E86" s="452">
        <f t="shared" ref="E86:S86" si="66">E75/E84</f>
        <v>50000</v>
      </c>
      <c r="F86" s="452">
        <f t="shared" si="66"/>
        <v>10517307.692307692</v>
      </c>
      <c r="G86" s="452">
        <f t="shared" si="66"/>
        <v>1849.1124260355027</v>
      </c>
      <c r="H86" s="391">
        <f t="shared" si="66"/>
        <v>0</v>
      </c>
      <c r="I86" s="391">
        <f t="shared" si="66"/>
        <v>0</v>
      </c>
      <c r="J86" s="391">
        <f t="shared" si="66"/>
        <v>0</v>
      </c>
      <c r="K86" s="391">
        <f t="shared" si="66"/>
        <v>0</v>
      </c>
      <c r="L86" s="391">
        <f t="shared" si="66"/>
        <v>0</v>
      </c>
      <c r="M86" s="391">
        <f t="shared" si="66"/>
        <v>0</v>
      </c>
      <c r="N86" s="391">
        <f t="shared" si="66"/>
        <v>0</v>
      </c>
      <c r="O86" s="391">
        <f t="shared" si="66"/>
        <v>0</v>
      </c>
      <c r="P86" s="391">
        <f t="shared" si="66"/>
        <v>0</v>
      </c>
      <c r="Q86" s="391">
        <f t="shared" si="66"/>
        <v>0</v>
      </c>
      <c r="R86" s="391">
        <f t="shared" si="66"/>
        <v>0</v>
      </c>
      <c r="S86" s="391">
        <f t="shared" si="66"/>
        <v>0</v>
      </c>
      <c r="T86" s="391">
        <f>SUM(E86:S86)</f>
        <v>10569156.804733727</v>
      </c>
      <c r="U86" s="375"/>
      <c r="V86" s="375"/>
      <c r="W86" s="375"/>
      <c r="X86" s="375"/>
      <c r="Y86" s="375"/>
      <c r="Z86" s="375"/>
      <c r="AA86" s="375"/>
      <c r="AB86" s="375"/>
      <c r="AC86" s="375"/>
      <c r="AD86" s="375"/>
      <c r="AE86" s="375"/>
      <c r="AF86" s="375"/>
      <c r="AG86" s="375"/>
      <c r="AH86" s="375"/>
    </row>
    <row r="87" spans="1:34" ht="15.5" x14ac:dyDescent="0.35">
      <c r="A87" s="482"/>
      <c r="B87" s="482"/>
      <c r="C87" s="482"/>
      <c r="D87" s="483"/>
      <c r="E87" s="402"/>
      <c r="F87" s="402"/>
      <c r="G87" s="402"/>
      <c r="H87" s="402"/>
      <c r="I87" s="402"/>
      <c r="J87" s="402"/>
      <c r="K87" s="402"/>
      <c r="L87" s="402"/>
      <c r="M87" s="402"/>
      <c r="N87" s="402"/>
      <c r="O87" s="402"/>
      <c r="P87" s="402"/>
      <c r="Q87" s="402"/>
      <c r="R87" s="402"/>
      <c r="S87" s="402"/>
      <c r="U87" s="375"/>
      <c r="V87" s="375"/>
      <c r="W87" s="375"/>
      <c r="X87" s="375"/>
      <c r="Y87" s="375"/>
      <c r="Z87" s="375"/>
      <c r="AA87" s="375"/>
      <c r="AB87" s="375"/>
      <c r="AC87" s="375"/>
      <c r="AD87" s="375"/>
      <c r="AE87" s="375"/>
      <c r="AF87" s="375"/>
      <c r="AG87" s="375"/>
      <c r="AH87" s="375"/>
    </row>
    <row r="88" spans="1:34" ht="15.5" x14ac:dyDescent="0.35">
      <c r="A88" s="480" t="s">
        <v>385</v>
      </c>
      <c r="B88" s="480"/>
      <c r="C88" s="480"/>
      <c r="D88" s="439" t="s">
        <v>515</v>
      </c>
      <c r="E88" s="452">
        <f t="shared" ref="E88:S88" si="67">E77/E84</f>
        <v>0</v>
      </c>
      <c r="F88" s="452">
        <f t="shared" si="67"/>
        <v>0</v>
      </c>
      <c r="G88" s="452">
        <f t="shared" si="67"/>
        <v>0</v>
      </c>
      <c r="H88" s="391">
        <f t="shared" si="67"/>
        <v>41273.063268092847</v>
      </c>
      <c r="I88" s="391">
        <f t="shared" si="67"/>
        <v>119056.91327334475</v>
      </c>
      <c r="J88" s="391">
        <f t="shared" si="67"/>
        <v>190796.3353739499</v>
      </c>
      <c r="K88" s="391">
        <f t="shared" si="67"/>
        <v>308770.25452157541</v>
      </c>
      <c r="L88" s="391">
        <f t="shared" si="67"/>
        <v>467318.77700613486</v>
      </c>
      <c r="M88" s="391">
        <f t="shared" si="67"/>
        <v>648689.07921211806</v>
      </c>
      <c r="N88" s="391">
        <f t="shared" si="67"/>
        <v>882145.39486235124</v>
      </c>
      <c r="O88" s="391">
        <f t="shared" si="67"/>
        <v>1096683.93315604</v>
      </c>
      <c r="P88" s="391">
        <f t="shared" si="67"/>
        <v>1232950.4589673341</v>
      </c>
      <c r="Q88" s="391">
        <f t="shared" si="67"/>
        <v>1600995.5047477654</v>
      </c>
      <c r="R88" s="391">
        <f t="shared" si="67"/>
        <v>1902571.3223905272</v>
      </c>
      <c r="S88" s="391">
        <f t="shared" si="67"/>
        <v>2305467.0548886512</v>
      </c>
      <c r="T88" s="391">
        <f>SUM(E88:S88)</f>
        <v>10796718.091667885</v>
      </c>
      <c r="U88" s="375"/>
      <c r="V88" s="375"/>
      <c r="W88" s="375"/>
      <c r="X88" s="375"/>
      <c r="Y88" s="375"/>
      <c r="Z88" s="375"/>
      <c r="AA88" s="375"/>
      <c r="AB88" s="375"/>
      <c r="AC88" s="375"/>
      <c r="AD88" s="375"/>
      <c r="AE88" s="375"/>
      <c r="AF88" s="375"/>
      <c r="AG88" s="375"/>
      <c r="AH88" s="375"/>
    </row>
    <row r="89" spans="1:34" x14ac:dyDescent="0.3">
      <c r="A89" s="472"/>
      <c r="B89" s="472"/>
      <c r="C89" s="472"/>
      <c r="D89" s="473"/>
      <c r="E89" s="472"/>
      <c r="F89" s="472"/>
      <c r="G89" s="472"/>
      <c r="U89" s="375"/>
      <c r="V89" s="375"/>
      <c r="W89" s="375"/>
      <c r="X89" s="375"/>
      <c r="Y89" s="375"/>
      <c r="Z89" s="375"/>
      <c r="AA89" s="375"/>
      <c r="AB89" s="375"/>
      <c r="AC89" s="375"/>
      <c r="AD89" s="375"/>
      <c r="AE89" s="375"/>
      <c r="AF89" s="375"/>
      <c r="AG89" s="375"/>
      <c r="AH89" s="375"/>
    </row>
    <row r="90" spans="1:34" ht="15.5" x14ac:dyDescent="0.35">
      <c r="A90" s="480" t="s">
        <v>386</v>
      </c>
      <c r="B90" s="480"/>
      <c r="C90" s="480"/>
      <c r="D90" s="439" t="s">
        <v>515</v>
      </c>
      <c r="E90" s="477">
        <f t="shared" ref="E90:S90" si="68">E88-E86</f>
        <v>-50000</v>
      </c>
      <c r="F90" s="477">
        <f t="shared" si="68"/>
        <v>-10517307.692307692</v>
      </c>
      <c r="G90" s="477">
        <f t="shared" si="68"/>
        <v>-1849.1124260355027</v>
      </c>
      <c r="H90" s="398">
        <f t="shared" si="68"/>
        <v>41273.063268092847</v>
      </c>
      <c r="I90" s="398">
        <f t="shared" si="68"/>
        <v>119056.91327334475</v>
      </c>
      <c r="J90" s="398">
        <f t="shared" si="68"/>
        <v>190796.3353739499</v>
      </c>
      <c r="K90" s="398">
        <f t="shared" si="68"/>
        <v>308770.25452157541</v>
      </c>
      <c r="L90" s="398">
        <f t="shared" si="68"/>
        <v>467318.77700613486</v>
      </c>
      <c r="M90" s="398">
        <f t="shared" si="68"/>
        <v>648689.07921211806</v>
      </c>
      <c r="N90" s="398">
        <f t="shared" si="68"/>
        <v>882145.39486235124</v>
      </c>
      <c r="O90" s="398">
        <f t="shared" si="68"/>
        <v>1096683.93315604</v>
      </c>
      <c r="P90" s="398">
        <f t="shared" si="68"/>
        <v>1232950.4589673341</v>
      </c>
      <c r="Q90" s="398">
        <f t="shared" si="68"/>
        <v>1600995.5047477654</v>
      </c>
      <c r="R90" s="398">
        <f t="shared" si="68"/>
        <v>1902571.3223905272</v>
      </c>
      <c r="S90" s="398">
        <f t="shared" si="68"/>
        <v>2305467.0548886512</v>
      </c>
      <c r="T90" s="391">
        <f>SUM(E90:S90)</f>
        <v>227561.28693415527</v>
      </c>
      <c r="U90" s="375"/>
      <c r="V90" s="375"/>
      <c r="W90" s="375"/>
      <c r="X90" s="375"/>
      <c r="Y90" s="375"/>
      <c r="Z90" s="375"/>
      <c r="AA90" s="375"/>
      <c r="AB90" s="375"/>
      <c r="AC90" s="375"/>
      <c r="AD90" s="375"/>
      <c r="AE90" s="375"/>
      <c r="AF90" s="375"/>
      <c r="AG90" s="375"/>
      <c r="AH90" s="375"/>
    </row>
    <row r="91" spans="1:34" ht="16" thickBot="1" x14ac:dyDescent="0.4">
      <c r="A91" s="482"/>
      <c r="B91" s="482"/>
      <c r="C91" s="482"/>
      <c r="D91" s="403"/>
      <c r="E91" s="403"/>
      <c r="F91" s="403"/>
      <c r="G91" s="403"/>
      <c r="H91" s="403"/>
      <c r="I91" s="403"/>
      <c r="J91" s="403"/>
      <c r="T91" s="404" t="s">
        <v>257</v>
      </c>
      <c r="U91" s="375"/>
      <c r="V91" s="375"/>
      <c r="W91" s="375"/>
      <c r="X91" s="375"/>
      <c r="Y91" s="375"/>
      <c r="Z91" s="375"/>
      <c r="AA91" s="375"/>
      <c r="AB91" s="375"/>
      <c r="AC91" s="375"/>
      <c r="AD91" s="375"/>
      <c r="AE91" s="375"/>
      <c r="AF91" s="375"/>
      <c r="AG91" s="375"/>
      <c r="AH91" s="375"/>
    </row>
    <row r="92" spans="1:34" ht="31" x14ac:dyDescent="0.35">
      <c r="A92" s="484" t="s">
        <v>387</v>
      </c>
      <c r="B92" s="484"/>
      <c r="C92" s="484"/>
      <c r="D92" s="460" t="s">
        <v>260</v>
      </c>
      <c r="E92" s="485">
        <f>E90</f>
        <v>-50000</v>
      </c>
      <c r="F92" s="485">
        <f t="shared" ref="F92:S92" si="69">E92+F90</f>
        <v>-10567307.692307692</v>
      </c>
      <c r="G92" s="485">
        <f t="shared" si="69"/>
        <v>-10569156.804733727</v>
      </c>
      <c r="H92" s="405">
        <f t="shared" si="69"/>
        <v>-10527883.741465634</v>
      </c>
      <c r="I92" s="405">
        <f t="shared" si="69"/>
        <v>-10408826.82819229</v>
      </c>
      <c r="J92" s="405">
        <f t="shared" si="69"/>
        <v>-10218030.492818341</v>
      </c>
      <c r="K92" s="405">
        <f t="shared" si="69"/>
        <v>-9909260.2382967658</v>
      </c>
      <c r="L92" s="405">
        <f t="shared" si="69"/>
        <v>-9441941.4612906314</v>
      </c>
      <c r="M92" s="405">
        <f t="shared" si="69"/>
        <v>-8793252.3820785135</v>
      </c>
      <c r="N92" s="405">
        <f t="shared" si="69"/>
        <v>-7911106.9872161625</v>
      </c>
      <c r="O92" s="405">
        <f t="shared" si="69"/>
        <v>-6814423.054060122</v>
      </c>
      <c r="P92" s="405">
        <f t="shared" si="69"/>
        <v>-5581472.5950927883</v>
      </c>
      <c r="Q92" s="405">
        <f t="shared" si="69"/>
        <v>-3980477.0903450232</v>
      </c>
      <c r="R92" s="405">
        <f t="shared" si="69"/>
        <v>-2077905.767954496</v>
      </c>
      <c r="S92" s="405">
        <f t="shared" si="69"/>
        <v>227561.28693415527</v>
      </c>
      <c r="T92" s="406">
        <f>MAX(E92:S92)</f>
        <v>227561.28693415527</v>
      </c>
      <c r="U92" s="375"/>
      <c r="V92" s="375"/>
      <c r="W92" s="375"/>
      <c r="X92" s="375"/>
      <c r="Y92" s="375"/>
      <c r="Z92" s="375"/>
      <c r="AA92" s="375"/>
      <c r="AB92" s="375"/>
      <c r="AC92" s="375"/>
      <c r="AD92" s="375"/>
      <c r="AE92" s="375"/>
      <c r="AF92" s="375"/>
      <c r="AG92" s="375"/>
      <c r="AH92" s="375"/>
    </row>
    <row r="93" spans="1:34" x14ac:dyDescent="0.3">
      <c r="A93" s="486"/>
      <c r="B93" s="486"/>
      <c r="C93" s="486"/>
      <c r="D93" s="487"/>
      <c r="E93" s="486"/>
      <c r="F93" s="486"/>
      <c r="G93" s="486"/>
      <c r="H93" s="407"/>
      <c r="I93" s="407"/>
      <c r="J93" s="407"/>
      <c r="K93" s="407"/>
      <c r="L93" s="407"/>
      <c r="M93" s="407"/>
      <c r="N93" s="407"/>
      <c r="O93" s="407"/>
      <c r="P93" s="407"/>
      <c r="Q93" s="407"/>
      <c r="R93" s="407"/>
      <c r="S93" s="407"/>
      <c r="T93" s="407"/>
      <c r="U93" s="375"/>
      <c r="V93" s="375"/>
      <c r="W93" s="375"/>
      <c r="X93" s="375"/>
      <c r="Y93" s="375"/>
      <c r="Z93" s="375"/>
      <c r="AA93" s="375"/>
      <c r="AB93" s="375"/>
      <c r="AC93" s="375"/>
      <c r="AD93" s="375"/>
      <c r="AE93" s="375"/>
      <c r="AF93" s="375"/>
      <c r="AG93" s="375"/>
      <c r="AH93" s="375"/>
    </row>
    <row r="94" spans="1:34" ht="14.5" thickBot="1" x14ac:dyDescent="0.35">
      <c r="A94" s="486"/>
      <c r="B94" s="486"/>
      <c r="C94" s="486"/>
      <c r="D94" s="487"/>
      <c r="E94" s="486"/>
      <c r="F94" s="486"/>
      <c r="G94" s="486"/>
      <c r="H94" s="407"/>
      <c r="I94" s="407"/>
      <c r="J94" s="407"/>
      <c r="K94" s="407"/>
      <c r="L94" s="407"/>
      <c r="M94" s="407"/>
      <c r="N94" s="407"/>
      <c r="O94" s="407"/>
      <c r="P94" s="407"/>
      <c r="Q94" s="407"/>
      <c r="R94" s="407"/>
      <c r="S94" s="407"/>
      <c r="T94" s="407"/>
      <c r="U94" s="375"/>
      <c r="V94" s="375"/>
      <c r="W94" s="375"/>
      <c r="X94" s="375"/>
      <c r="Y94" s="375"/>
      <c r="Z94" s="375"/>
      <c r="AA94" s="375"/>
      <c r="AB94" s="375"/>
      <c r="AC94" s="375"/>
      <c r="AD94" s="375"/>
      <c r="AE94" s="375"/>
      <c r="AF94" s="375"/>
      <c r="AG94" s="375"/>
      <c r="AH94" s="375"/>
    </row>
    <row r="95" spans="1:34" ht="16" thickBot="1" x14ac:dyDescent="0.4">
      <c r="A95" s="486"/>
      <c r="B95" s="874" t="s">
        <v>82</v>
      </c>
      <c r="C95" s="875"/>
      <c r="D95" s="861" t="s">
        <v>258</v>
      </c>
      <c r="E95" s="862"/>
      <c r="F95" s="407"/>
      <c r="G95" s="407"/>
      <c r="H95" s="407"/>
      <c r="I95" s="407"/>
      <c r="J95" s="407"/>
      <c r="K95" s="407"/>
      <c r="L95" s="407"/>
      <c r="M95" s="407"/>
      <c r="N95" s="407"/>
      <c r="O95" s="407"/>
      <c r="P95" s="407"/>
      <c r="Q95" s="407"/>
      <c r="R95" s="407"/>
      <c r="S95" s="407"/>
      <c r="U95" s="375"/>
      <c r="V95" s="375"/>
      <c r="W95" s="375"/>
      <c r="X95" s="375"/>
      <c r="Y95" s="375"/>
      <c r="Z95" s="375"/>
      <c r="AA95" s="375"/>
      <c r="AB95" s="375"/>
      <c r="AC95" s="375"/>
      <c r="AD95" s="375"/>
      <c r="AE95" s="375"/>
      <c r="AF95" s="375"/>
    </row>
    <row r="96" spans="1:34" ht="50.25" customHeight="1" thickBot="1" x14ac:dyDescent="0.4">
      <c r="A96" s="408"/>
      <c r="B96" s="876"/>
      <c r="C96" s="877"/>
      <c r="D96" s="878"/>
      <c r="E96" s="879"/>
      <c r="F96" s="880"/>
      <c r="G96" s="880"/>
      <c r="H96" s="407"/>
      <c r="I96" s="407"/>
      <c r="J96" s="407"/>
      <c r="K96" s="407"/>
      <c r="L96" s="407"/>
      <c r="M96" s="407"/>
      <c r="N96" s="407"/>
      <c r="O96" s="407"/>
      <c r="P96" s="407"/>
      <c r="Q96" s="407"/>
      <c r="R96" s="407"/>
      <c r="S96" s="407"/>
      <c r="U96" s="375"/>
      <c r="V96" s="375"/>
      <c r="W96" s="375"/>
      <c r="X96" s="375"/>
      <c r="Y96" s="375"/>
      <c r="Z96" s="375"/>
      <c r="AA96" s="375"/>
      <c r="AB96" s="375"/>
      <c r="AC96" s="375"/>
      <c r="AD96" s="375"/>
      <c r="AE96" s="375"/>
      <c r="AF96" s="375"/>
    </row>
    <row r="97" spans="1:34" ht="15.5" x14ac:dyDescent="0.35">
      <c r="A97" s="486"/>
      <c r="B97" s="863" t="s">
        <v>259</v>
      </c>
      <c r="C97" s="864"/>
      <c r="D97" s="732">
        <f>T92</f>
        <v>227561.28693415527</v>
      </c>
      <c r="E97" s="409" t="s">
        <v>260</v>
      </c>
      <c r="F97" s="410"/>
      <c r="G97" s="411">
        <f>D99/4%</f>
        <v>1.0667498411146392</v>
      </c>
      <c r="H97" s="411" t="e">
        <f>#REF!/4%</f>
        <v>#REF!</v>
      </c>
      <c r="I97" s="407"/>
      <c r="J97" s="407"/>
      <c r="K97" s="407"/>
      <c r="L97" s="407"/>
      <c r="M97" s="407"/>
      <c r="N97" s="407"/>
      <c r="O97" s="407"/>
      <c r="P97" s="407"/>
      <c r="Q97" s="407"/>
      <c r="R97" s="407"/>
      <c r="S97" s="407"/>
      <c r="U97" s="375"/>
      <c r="V97" s="375"/>
      <c r="W97" s="375"/>
      <c r="X97" s="375"/>
      <c r="Y97" s="375"/>
      <c r="Z97" s="375"/>
      <c r="AA97" s="375"/>
      <c r="AB97" s="375"/>
      <c r="AC97" s="375"/>
      <c r="AD97" s="375"/>
      <c r="AE97" s="375"/>
      <c r="AF97" s="375"/>
    </row>
    <row r="98" spans="1:34" ht="15.5" x14ac:dyDescent="0.35">
      <c r="A98" s="486"/>
      <c r="B98" s="865" t="s">
        <v>261</v>
      </c>
      <c r="C98" s="866"/>
      <c r="D98" s="733">
        <f>T88/T86</f>
        <v>1.02153069456139</v>
      </c>
      <c r="E98" s="412"/>
      <c r="F98" s="410"/>
      <c r="G98" s="413"/>
      <c r="H98" s="407"/>
      <c r="I98" s="407"/>
      <c r="J98" s="407"/>
      <c r="K98" s="407"/>
      <c r="L98" s="407"/>
      <c r="M98" s="407"/>
      <c r="N98" s="407"/>
      <c r="O98" s="407"/>
      <c r="P98" s="407"/>
      <c r="Q98" s="407"/>
      <c r="R98" s="407"/>
      <c r="S98" s="407"/>
      <c r="U98" s="375"/>
      <c r="V98" s="375"/>
      <c r="W98" s="375"/>
      <c r="X98" s="375"/>
      <c r="Y98" s="375"/>
      <c r="Z98" s="375"/>
      <c r="AA98" s="375"/>
      <c r="AB98" s="375"/>
      <c r="AC98" s="375"/>
      <c r="AD98" s="375"/>
      <c r="AE98" s="375"/>
      <c r="AF98" s="375"/>
    </row>
    <row r="99" spans="1:34" ht="15.5" x14ac:dyDescent="0.35">
      <c r="A99" s="486"/>
      <c r="B99" s="865" t="s">
        <v>262</v>
      </c>
      <c r="C99" s="866"/>
      <c r="D99" s="414">
        <f>IRR(F79:S79,1050)</f>
        <v>4.2669993644585569E-2</v>
      </c>
      <c r="E99" s="412"/>
      <c r="F99" s="410"/>
      <c r="G99" s="413"/>
      <c r="H99" s="407"/>
      <c r="I99" s="407"/>
      <c r="J99" s="407"/>
      <c r="K99" s="407"/>
      <c r="L99" s="407"/>
      <c r="M99" s="407"/>
      <c r="N99" s="407"/>
      <c r="O99" s="407"/>
      <c r="P99" s="407"/>
      <c r="Q99" s="407"/>
      <c r="R99" s="407"/>
      <c r="S99" s="407"/>
      <c r="U99" s="375"/>
      <c r="V99" s="375"/>
      <c r="W99" s="375"/>
      <c r="X99" s="375"/>
      <c r="Y99" s="375"/>
      <c r="Z99" s="375"/>
      <c r="AA99" s="375"/>
      <c r="AB99" s="375"/>
      <c r="AC99" s="375"/>
      <c r="AD99" s="375"/>
      <c r="AE99" s="375"/>
      <c r="AF99" s="375"/>
    </row>
    <row r="100" spans="1:34" ht="16" thickBot="1" x14ac:dyDescent="0.4">
      <c r="A100" s="486"/>
      <c r="B100" s="867" t="s">
        <v>263</v>
      </c>
      <c r="C100" s="868"/>
      <c r="D100" s="415">
        <f>COUNTIF(F92:S92,"&lt;0")</f>
        <v>13</v>
      </c>
      <c r="E100" s="416" t="s">
        <v>264</v>
      </c>
      <c r="F100" s="417"/>
      <c r="G100" s="413"/>
      <c r="H100" s="407"/>
      <c r="I100" s="407"/>
      <c r="J100" s="407"/>
      <c r="K100" s="407"/>
      <c r="L100" s="407"/>
      <c r="M100" s="407"/>
      <c r="N100" s="407"/>
      <c r="O100" s="407"/>
      <c r="P100" s="407"/>
      <c r="Q100" s="407"/>
      <c r="R100" s="407"/>
      <c r="S100" s="407"/>
      <c r="U100" s="375"/>
      <c r="V100" s="375"/>
      <c r="W100" s="375"/>
      <c r="X100" s="375"/>
      <c r="Y100" s="375"/>
      <c r="Z100" s="375"/>
      <c r="AA100" s="375"/>
      <c r="AB100" s="375"/>
      <c r="AC100" s="375"/>
      <c r="AD100" s="375"/>
      <c r="AE100" s="375"/>
      <c r="AF100" s="375"/>
    </row>
    <row r="101" spans="1:34" x14ac:dyDescent="0.3">
      <c r="U101" s="375"/>
      <c r="V101" s="375"/>
      <c r="W101" s="375"/>
      <c r="X101" s="375"/>
      <c r="Y101" s="375"/>
      <c r="Z101" s="375"/>
      <c r="AA101" s="375"/>
      <c r="AB101" s="375"/>
      <c r="AC101" s="375"/>
      <c r="AD101" s="375"/>
      <c r="AE101" s="375"/>
      <c r="AF101" s="375"/>
      <c r="AG101" s="375"/>
      <c r="AH101" s="375"/>
    </row>
    <row r="102" spans="1:34" x14ac:dyDescent="0.3">
      <c r="G102" s="602">
        <f>D99*100/4</f>
        <v>1.0667498411146392</v>
      </c>
      <c r="U102" s="375"/>
      <c r="V102" s="375"/>
      <c r="W102" s="375"/>
      <c r="X102" s="375"/>
      <c r="Y102" s="375"/>
      <c r="Z102" s="375"/>
      <c r="AA102" s="375"/>
      <c r="AB102" s="375"/>
      <c r="AC102" s="375"/>
      <c r="AD102" s="375"/>
      <c r="AE102" s="375"/>
      <c r="AF102" s="375"/>
      <c r="AG102" s="375"/>
      <c r="AH102" s="375"/>
    </row>
    <row r="103" spans="1:34" x14ac:dyDescent="0.3">
      <c r="U103" s="375"/>
      <c r="V103" s="375"/>
      <c r="W103" s="375"/>
      <c r="X103" s="375"/>
      <c r="Y103" s="375"/>
      <c r="Z103" s="375"/>
      <c r="AA103" s="375"/>
      <c r="AB103" s="375"/>
      <c r="AC103" s="375"/>
      <c r="AD103" s="375"/>
      <c r="AE103" s="375"/>
      <c r="AF103" s="375"/>
      <c r="AG103" s="375"/>
      <c r="AH103" s="375"/>
    </row>
    <row r="104" spans="1:34" hidden="1" x14ac:dyDescent="0.3">
      <c r="A104" s="375" t="s">
        <v>265</v>
      </c>
      <c r="U104" s="375"/>
      <c r="V104" s="375"/>
      <c r="W104" s="375"/>
      <c r="X104" s="375"/>
      <c r="Y104" s="375"/>
      <c r="Z104" s="375"/>
      <c r="AA104" s="375"/>
      <c r="AB104" s="375"/>
      <c r="AC104" s="375"/>
      <c r="AD104" s="375"/>
      <c r="AE104" s="375"/>
      <c r="AF104" s="375"/>
      <c r="AG104" s="375"/>
      <c r="AH104" s="375"/>
    </row>
    <row r="105" spans="1:34" ht="14.5" hidden="1" thickBot="1" x14ac:dyDescent="0.35">
      <c r="U105" s="375"/>
      <c r="V105" s="375"/>
      <c r="W105" s="375"/>
      <c r="X105" s="375"/>
      <c r="Y105" s="375"/>
      <c r="Z105" s="869">
        <f>D96</f>
        <v>0</v>
      </c>
      <c r="AA105" s="870"/>
      <c r="AB105" s="869" t="e">
        <f>#REF!</f>
        <v>#REF!</v>
      </c>
      <c r="AC105" s="870"/>
      <c r="AD105" s="860"/>
      <c r="AE105" s="860"/>
      <c r="AF105" s="860"/>
      <c r="AG105" s="860"/>
      <c r="AH105" s="375"/>
    </row>
    <row r="106" spans="1:34" ht="33" hidden="1" customHeight="1" x14ac:dyDescent="0.3">
      <c r="U106" s="375"/>
      <c r="V106" s="375"/>
      <c r="W106" s="375"/>
      <c r="X106" s="375"/>
      <c r="Y106" s="418" t="s">
        <v>266</v>
      </c>
      <c r="Z106" s="419">
        <f>T28</f>
        <v>0</v>
      </c>
      <c r="AA106" s="420" t="str">
        <f>E97</f>
        <v>mln eurot</v>
      </c>
      <c r="AB106" s="419">
        <f>T54</f>
        <v>16811755.70932224</v>
      </c>
      <c r="AC106" s="420" t="str">
        <f>AA106</f>
        <v>mln eurot</v>
      </c>
      <c r="AD106" s="421"/>
      <c r="AE106" s="375"/>
      <c r="AF106" s="422"/>
      <c r="AG106" s="375"/>
      <c r="AH106" s="375"/>
    </row>
    <row r="107" spans="1:34" ht="33" hidden="1" customHeight="1" x14ac:dyDescent="0.3">
      <c r="U107" s="375"/>
      <c r="V107" s="375"/>
      <c r="W107" s="375"/>
      <c r="X107" s="375"/>
      <c r="Y107" s="423" t="s">
        <v>267</v>
      </c>
      <c r="Z107" s="424">
        <f>T19</f>
        <v>0</v>
      </c>
      <c r="AA107" s="425" t="str">
        <f>E97</f>
        <v>mln eurot</v>
      </c>
      <c r="AB107" s="424">
        <f>T19</f>
        <v>0</v>
      </c>
      <c r="AC107" s="425" t="str">
        <f>AA107</f>
        <v>mln eurot</v>
      </c>
      <c r="AD107" s="421"/>
      <c r="AE107" s="375"/>
      <c r="AF107" s="422"/>
      <c r="AG107" s="375"/>
      <c r="AH107" s="375"/>
    </row>
    <row r="108" spans="1:34" ht="33" hidden="1" customHeight="1" x14ac:dyDescent="0.3">
      <c r="D108" s="375"/>
      <c r="U108" s="375"/>
      <c r="V108" s="375"/>
      <c r="W108" s="375"/>
      <c r="X108" s="375"/>
      <c r="Y108" s="426" t="s">
        <v>268</v>
      </c>
      <c r="Z108" s="427">
        <v>12697303.870000001</v>
      </c>
      <c r="AA108" s="428" t="str">
        <f>AA107</f>
        <v>mln eurot</v>
      </c>
      <c r="AB108" s="427">
        <v>10442103.870000001</v>
      </c>
      <c r="AC108" s="425" t="str">
        <f>AC107</f>
        <v>mln eurot</v>
      </c>
      <c r="AD108" s="421"/>
      <c r="AE108" s="375"/>
      <c r="AF108" s="422"/>
      <c r="AG108" s="375"/>
      <c r="AH108" s="375"/>
    </row>
    <row r="109" spans="1:34" ht="33" hidden="1" customHeight="1" x14ac:dyDescent="0.3">
      <c r="D109" s="375"/>
      <c r="U109" s="375"/>
      <c r="V109" s="375"/>
      <c r="W109" s="375"/>
      <c r="X109" s="375"/>
      <c r="Y109" s="426" t="s">
        <v>269</v>
      </c>
      <c r="Z109" s="429">
        <f>T21</f>
        <v>0</v>
      </c>
      <c r="AA109" s="428" t="str">
        <f>AA110</f>
        <v>чел.</v>
      </c>
      <c r="AB109" s="429">
        <f>T61</f>
        <v>0</v>
      </c>
      <c r="AC109" s="428" t="str">
        <f>AC110</f>
        <v>чел.</v>
      </c>
      <c r="AD109" s="430"/>
      <c r="AE109" s="375"/>
      <c r="AF109" s="422"/>
      <c r="AG109" s="375"/>
      <c r="AH109" s="375"/>
    </row>
    <row r="110" spans="1:34" ht="33" hidden="1" customHeight="1" thickBot="1" x14ac:dyDescent="0.35">
      <c r="D110" s="375"/>
      <c r="U110" s="375"/>
      <c r="V110" s="375"/>
      <c r="W110" s="375"/>
      <c r="X110" s="375"/>
      <c r="Y110" s="431" t="s">
        <v>270</v>
      </c>
      <c r="Z110" s="432"/>
      <c r="AA110" s="433" t="s">
        <v>271</v>
      </c>
      <c r="AB110" s="432">
        <f>T62</f>
        <v>142.80000000000001</v>
      </c>
      <c r="AC110" s="433" t="str">
        <f>AA110</f>
        <v>чел.</v>
      </c>
      <c r="AD110" s="434"/>
      <c r="AE110" s="375"/>
      <c r="AF110" s="422"/>
      <c r="AG110" s="375"/>
      <c r="AH110" s="375"/>
    </row>
    <row r="111" spans="1:34" ht="33" hidden="1" customHeight="1" x14ac:dyDescent="0.3">
      <c r="D111" s="375"/>
      <c r="U111" s="375"/>
      <c r="V111" s="375"/>
      <c r="W111" s="375"/>
      <c r="X111" s="375"/>
      <c r="Y111" s="375"/>
      <c r="Z111" s="375"/>
      <c r="AA111" s="375"/>
      <c r="AB111" s="375"/>
      <c r="AC111" s="375"/>
      <c r="AD111" s="434"/>
      <c r="AE111" s="375"/>
      <c r="AF111" s="422"/>
      <c r="AG111" s="375"/>
      <c r="AH111" s="375"/>
    </row>
    <row r="112" spans="1:34" hidden="1" x14ac:dyDescent="0.3">
      <c r="U112" s="375"/>
      <c r="V112" s="375"/>
      <c r="W112" s="375"/>
      <c r="X112" s="375"/>
      <c r="Y112" s="375"/>
      <c r="Z112" s="375"/>
      <c r="AA112" s="375"/>
      <c r="AB112" s="375"/>
      <c r="AC112" s="375"/>
      <c r="AD112" s="375"/>
      <c r="AE112" s="375"/>
      <c r="AF112" s="375"/>
      <c r="AG112" s="375"/>
      <c r="AH112" s="375"/>
    </row>
    <row r="113" spans="1:34" hidden="1" x14ac:dyDescent="0.3">
      <c r="U113" s="375"/>
      <c r="V113" s="375"/>
      <c r="W113" s="375"/>
      <c r="X113" s="375"/>
      <c r="Y113" s="375"/>
      <c r="Z113" s="375"/>
      <c r="AA113" s="375"/>
      <c r="AB113" s="375"/>
      <c r="AC113" s="375"/>
      <c r="AD113" s="375"/>
      <c r="AE113" s="375"/>
      <c r="AF113" s="375"/>
      <c r="AG113" s="375"/>
      <c r="AH113" s="375"/>
    </row>
    <row r="114" spans="1:34" x14ac:dyDescent="0.3">
      <c r="U114" s="375"/>
      <c r="V114" s="375"/>
      <c r="W114" s="375"/>
      <c r="X114" s="375"/>
      <c r="AD114" s="375"/>
      <c r="AE114" s="375"/>
      <c r="AF114" s="375"/>
      <c r="AG114" s="375"/>
      <c r="AH114" s="375"/>
    </row>
    <row r="115" spans="1:34" x14ac:dyDescent="0.3">
      <c r="A115" s="435"/>
      <c r="G115" s="399"/>
      <c r="H115" s="399"/>
      <c r="I115" s="399"/>
      <c r="J115" s="399"/>
      <c r="K115" s="399"/>
      <c r="L115" s="399"/>
      <c r="M115" s="399"/>
      <c r="N115" s="399"/>
      <c r="O115" s="399"/>
      <c r="P115" s="399"/>
      <c r="Q115" s="399"/>
      <c r="R115" s="399"/>
      <c r="S115" s="399"/>
    </row>
    <row r="116" spans="1:34" s="375" customFormat="1" x14ac:dyDescent="0.3">
      <c r="A116" s="436"/>
      <c r="D116" s="376"/>
      <c r="H116" s="399"/>
      <c r="I116" s="399"/>
      <c r="J116" s="399"/>
      <c r="K116" s="399"/>
      <c r="L116" s="399"/>
      <c r="M116" s="399"/>
      <c r="N116" s="399"/>
      <c r="O116" s="399"/>
      <c r="P116" s="399"/>
      <c r="Q116" s="399"/>
      <c r="R116" s="399"/>
      <c r="S116" s="399"/>
      <c r="U116" s="380"/>
      <c r="V116" s="380"/>
      <c r="W116" s="380"/>
      <c r="X116" s="380"/>
      <c r="Y116" s="380"/>
      <c r="Z116" s="380"/>
      <c r="AA116" s="380"/>
      <c r="AB116" s="380"/>
      <c r="AC116" s="380"/>
      <c r="AD116" s="380"/>
      <c r="AE116" s="380"/>
      <c r="AF116" s="380"/>
      <c r="AG116" s="380"/>
      <c r="AH116" s="380"/>
    </row>
  </sheetData>
  <mergeCells count="13">
    <mergeCell ref="V2:Y2"/>
    <mergeCell ref="B3:C3"/>
    <mergeCell ref="B95:C96"/>
    <mergeCell ref="D96:E96"/>
    <mergeCell ref="F96:G96"/>
    <mergeCell ref="AD105:AG105"/>
    <mergeCell ref="D95:E95"/>
    <mergeCell ref="B97:C97"/>
    <mergeCell ref="B98:C98"/>
    <mergeCell ref="B99:C99"/>
    <mergeCell ref="B100:C100"/>
    <mergeCell ref="Z105:AA105"/>
    <mergeCell ref="AB105:AC10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8"/>
  <sheetViews>
    <sheetView workbookViewId="0">
      <pane xSplit="1" ySplit="5" topLeftCell="B25" activePane="bottomRight" state="frozen"/>
      <selection pane="topRight" activeCell="B1" sqref="B1"/>
      <selection pane="bottomLeft" activeCell="A6" sqref="A6"/>
      <selection pane="bottomRight" activeCell="A36" sqref="A36"/>
    </sheetView>
  </sheetViews>
  <sheetFormatPr defaultColWidth="9.1796875" defaultRowHeight="14" x14ac:dyDescent="0.3"/>
  <cols>
    <col min="1" max="1" width="47.1796875" style="568" customWidth="1"/>
    <col min="2" max="16384" width="9.1796875" style="568"/>
  </cols>
  <sheetData>
    <row r="1" spans="1:12" ht="17.5" x14ac:dyDescent="0.35">
      <c r="A1" s="567" t="s">
        <v>317</v>
      </c>
    </row>
    <row r="3" spans="1:12" x14ac:dyDescent="0.3">
      <c r="A3" s="569" t="s">
        <v>318</v>
      </c>
    </row>
    <row r="5" spans="1:12" x14ac:dyDescent="0.3">
      <c r="A5" s="570" t="s">
        <v>319</v>
      </c>
      <c r="B5" s="571">
        <v>2024</v>
      </c>
      <c r="C5" s="571">
        <v>2025</v>
      </c>
      <c r="D5" s="571">
        <v>2026</v>
      </c>
      <c r="E5" s="571">
        <v>2027</v>
      </c>
      <c r="F5" s="571">
        <v>2028</v>
      </c>
      <c r="G5" s="571">
        <v>2029</v>
      </c>
      <c r="H5" s="571">
        <v>2030</v>
      </c>
      <c r="I5" s="571">
        <v>2031</v>
      </c>
      <c r="J5" s="571">
        <v>2032</v>
      </c>
      <c r="K5" s="571">
        <v>2033</v>
      </c>
    </row>
    <row r="6" spans="1:12" ht="15.5" hidden="1" x14ac:dyDescent="0.3">
      <c r="A6" s="572" t="s">
        <v>320</v>
      </c>
      <c r="B6" s="571"/>
      <c r="C6" s="571"/>
      <c r="D6" s="571"/>
      <c r="E6" s="571"/>
      <c r="F6" s="571"/>
      <c r="G6" s="571"/>
      <c r="H6" s="571"/>
      <c r="I6" s="571"/>
      <c r="J6" s="571"/>
      <c r="K6" s="571"/>
    </row>
    <row r="7" spans="1:12" ht="15.5" hidden="1" x14ac:dyDescent="0.3">
      <c r="A7" s="573"/>
      <c r="B7" s="574"/>
      <c r="C7" s="574"/>
      <c r="D7" s="574"/>
      <c r="E7" s="574"/>
      <c r="F7" s="574"/>
      <c r="G7" s="574"/>
      <c r="H7" s="574"/>
      <c r="I7" s="574"/>
      <c r="J7" s="574"/>
      <c r="K7" s="574"/>
      <c r="L7" s="568">
        <f>SUM(B7:K7)</f>
        <v>0</v>
      </c>
    </row>
    <row r="8" spans="1:12" ht="15.5" hidden="1" x14ac:dyDescent="0.3">
      <c r="A8" s="575" t="s">
        <v>322</v>
      </c>
      <c r="B8" s="571"/>
      <c r="C8" s="571"/>
      <c r="D8" s="571"/>
      <c r="E8" s="571"/>
      <c r="F8" s="571"/>
      <c r="G8" s="571"/>
      <c r="H8" s="571"/>
      <c r="I8" s="571"/>
      <c r="J8" s="571"/>
      <c r="K8" s="571"/>
    </row>
    <row r="9" spans="1:12" ht="15.5" x14ac:dyDescent="0.3">
      <c r="A9" s="573" t="s">
        <v>321</v>
      </c>
      <c r="B9" s="574"/>
      <c r="C9" s="574"/>
      <c r="D9" s="574">
        <v>5</v>
      </c>
      <c r="E9" s="574">
        <v>10</v>
      </c>
      <c r="F9" s="574">
        <v>10</v>
      </c>
      <c r="G9" s="574">
        <v>10</v>
      </c>
      <c r="H9" s="574">
        <v>10</v>
      </c>
      <c r="I9" s="574">
        <v>10</v>
      </c>
      <c r="J9" s="574">
        <v>15</v>
      </c>
      <c r="K9" s="574">
        <v>15</v>
      </c>
      <c r="L9" s="568">
        <f>SUM(B9:K9)</f>
        <v>85</v>
      </c>
    </row>
    <row r="10" spans="1:12" ht="15.5" x14ac:dyDescent="0.3">
      <c r="A10" s="576"/>
    </row>
    <row r="11" spans="1:12" ht="30" x14ac:dyDescent="0.3">
      <c r="A11" s="577" t="s">
        <v>323</v>
      </c>
      <c r="B11" s="578" t="s">
        <v>295</v>
      </c>
    </row>
    <row r="12" spans="1:12" ht="15.5" hidden="1" x14ac:dyDescent="0.3">
      <c r="A12" s="579"/>
      <c r="B12" s="594"/>
    </row>
    <row r="13" spans="1:12" ht="15.5" x14ac:dyDescent="0.3">
      <c r="A13" s="579" t="str">
        <f>A8</f>
        <v>Loomeinkubaatsiooni ettevõtted</v>
      </c>
      <c r="B13" s="594">
        <v>0.6</v>
      </c>
    </row>
    <row r="14" spans="1:12" ht="15.5" x14ac:dyDescent="0.3">
      <c r="A14" s="576"/>
    </row>
    <row r="15" spans="1:12" x14ac:dyDescent="0.3">
      <c r="B15" s="881" t="s">
        <v>324</v>
      </c>
      <c r="C15" s="881"/>
      <c r="D15" s="881"/>
      <c r="E15" s="881"/>
      <c r="F15" s="881"/>
    </row>
    <row r="16" spans="1:12" x14ac:dyDescent="0.3">
      <c r="A16" s="580" t="s">
        <v>325</v>
      </c>
      <c r="B16" s="581" t="s">
        <v>326</v>
      </c>
      <c r="C16" s="581" t="s">
        <v>327</v>
      </c>
      <c r="D16" s="581" t="s">
        <v>328</v>
      </c>
      <c r="E16" s="581" t="s">
        <v>329</v>
      </c>
      <c r="F16" s="581" t="s">
        <v>330</v>
      </c>
      <c r="J16" s="568">
        <f>9.2-6.6</f>
        <v>2.5999999999999996</v>
      </c>
    </row>
    <row r="17" spans="1:10" x14ac:dyDescent="0.3">
      <c r="A17" s="582"/>
      <c r="B17" s="583"/>
      <c r="C17" s="583"/>
      <c r="D17" s="583"/>
      <c r="E17" s="583"/>
      <c r="F17" s="583"/>
    </row>
    <row r="18" spans="1:10" hidden="1" x14ac:dyDescent="0.3">
      <c r="A18" s="584"/>
      <c r="B18" s="574"/>
      <c r="C18" s="574"/>
      <c r="D18" s="574"/>
      <c r="E18" s="574"/>
      <c r="F18" s="574"/>
      <c r="J18" s="568">
        <f>6.8/4</f>
        <v>1.7</v>
      </c>
    </row>
    <row r="19" spans="1:10" x14ac:dyDescent="0.3">
      <c r="A19" s="571" t="s">
        <v>331</v>
      </c>
      <c r="B19" s="574">
        <v>1</v>
      </c>
      <c r="C19" s="574">
        <v>1.6</v>
      </c>
      <c r="D19" s="574">
        <v>1.6</v>
      </c>
      <c r="E19" s="730">
        <v>2</v>
      </c>
      <c r="F19" s="730">
        <v>3</v>
      </c>
    </row>
    <row r="20" spans="1:10" ht="16.5" customHeight="1" x14ac:dyDescent="0.3">
      <c r="A20" s="584"/>
      <c r="B20" s="571"/>
      <c r="C20" s="738"/>
      <c r="D20" s="738"/>
      <c r="E20" s="738"/>
      <c r="F20" s="738"/>
    </row>
    <row r="21" spans="1:10" ht="42" x14ac:dyDescent="0.3">
      <c r="A21" s="735" t="s">
        <v>555</v>
      </c>
      <c r="B21" s="585">
        <f>B22*0.6</f>
        <v>872.4</v>
      </c>
      <c r="C21" s="585">
        <f>B22*0.8</f>
        <v>1163.2</v>
      </c>
      <c r="D21" s="585">
        <f>C21*1.3</f>
        <v>1512.16</v>
      </c>
      <c r="E21" s="585">
        <f>D21*1.1</f>
        <v>1663.3760000000002</v>
      </c>
      <c r="F21" s="585">
        <f>E21*1.2</f>
        <v>1996.0512000000001</v>
      </c>
    </row>
    <row r="22" spans="1:10" ht="29.25" customHeight="1" x14ac:dyDescent="0.3">
      <c r="A22" s="736" t="s">
        <v>556</v>
      </c>
      <c r="B22" s="737">
        <v>1454</v>
      </c>
      <c r="C22" s="571"/>
      <c r="D22" s="571"/>
      <c r="E22" s="571"/>
      <c r="F22" s="571"/>
    </row>
    <row r="23" spans="1:10" x14ac:dyDescent="0.3">
      <c r="A23" s="571"/>
      <c r="B23" s="571"/>
      <c r="C23" s="571"/>
      <c r="D23" s="571"/>
      <c r="E23" s="571"/>
      <c r="F23" s="571"/>
    </row>
    <row r="24" spans="1:10" hidden="1" x14ac:dyDescent="0.3">
      <c r="A24" s="584"/>
      <c r="B24" s="586"/>
      <c r="C24" s="586"/>
      <c r="D24" s="586"/>
      <c r="E24" s="586"/>
      <c r="F24" s="586"/>
      <c r="J24" s="637"/>
    </row>
    <row r="25" spans="1:10" x14ac:dyDescent="0.3">
      <c r="A25" s="571" t="s">
        <v>345</v>
      </c>
      <c r="B25" s="586">
        <v>50000</v>
      </c>
      <c r="C25" s="586">
        <v>137000</v>
      </c>
      <c r="D25" s="586">
        <v>200000</v>
      </c>
      <c r="E25" s="586">
        <v>250000</v>
      </c>
      <c r="F25" s="586">
        <v>300000</v>
      </c>
    </row>
    <row r="27" spans="1:10" hidden="1" x14ac:dyDescent="0.3">
      <c r="A27" s="584"/>
      <c r="B27" s="595"/>
      <c r="C27" s="595"/>
      <c r="D27" s="595"/>
      <c r="E27" s="595"/>
      <c r="F27" s="595"/>
    </row>
    <row r="28" spans="1:10" x14ac:dyDescent="0.3">
      <c r="A28" s="571" t="s">
        <v>332</v>
      </c>
      <c r="B28" s="574">
        <v>0</v>
      </c>
      <c r="C28" s="595">
        <v>0.1</v>
      </c>
      <c r="D28" s="595">
        <v>0.1</v>
      </c>
      <c r="E28" s="595">
        <v>0.1</v>
      </c>
      <c r="F28" s="595">
        <v>0.1</v>
      </c>
    </row>
    <row r="30" spans="1:10" hidden="1" x14ac:dyDescent="0.3">
      <c r="A30" s="584"/>
      <c r="B30" s="595"/>
      <c r="C30" s="595"/>
      <c r="D30" s="595"/>
      <c r="E30" s="595"/>
      <c r="F30" s="595"/>
    </row>
    <row r="31" spans="1:10" x14ac:dyDescent="0.3">
      <c r="A31" s="571" t="s">
        <v>333</v>
      </c>
      <c r="B31" s="595">
        <v>0.5</v>
      </c>
      <c r="C31" s="595">
        <v>0.5</v>
      </c>
      <c r="D31" s="595">
        <v>0.5</v>
      </c>
      <c r="E31" s="595">
        <v>0.5</v>
      </c>
      <c r="F31" s="595">
        <v>0.5</v>
      </c>
    </row>
    <row r="32" spans="1:10" x14ac:dyDescent="0.3">
      <c r="A32" s="587"/>
    </row>
    <row r="33" spans="1:11" ht="15" customHeight="1" x14ac:dyDescent="0.3">
      <c r="A33" s="588"/>
    </row>
    <row r="34" spans="1:11" x14ac:dyDescent="0.3">
      <c r="A34" s="569" t="s">
        <v>334</v>
      </c>
    </row>
    <row r="35" spans="1:11" x14ac:dyDescent="0.3">
      <c r="A35" s="569"/>
    </row>
    <row r="36" spans="1:11" ht="28" x14ac:dyDescent="0.3">
      <c r="A36" s="589" t="s">
        <v>335</v>
      </c>
      <c r="B36" s="590">
        <v>2024</v>
      </c>
      <c r="C36" s="590">
        <v>2025</v>
      </c>
      <c r="D36" s="590">
        <v>2026</v>
      </c>
      <c r="E36" s="590">
        <v>2027</v>
      </c>
      <c r="F36" s="590">
        <v>2028</v>
      </c>
      <c r="G36" s="590">
        <v>2029</v>
      </c>
      <c r="H36" s="590">
        <v>2030</v>
      </c>
      <c r="I36" s="590">
        <v>2031</v>
      </c>
      <c r="J36" s="590">
        <v>2032</v>
      </c>
      <c r="K36" s="590">
        <v>2033</v>
      </c>
    </row>
    <row r="37" spans="1:11" x14ac:dyDescent="0.3">
      <c r="A37" s="591" t="s">
        <v>336</v>
      </c>
      <c r="B37" s="574"/>
      <c r="C37" s="574"/>
      <c r="D37" s="574">
        <v>5</v>
      </c>
      <c r="E37" s="592" t="s">
        <v>337</v>
      </c>
      <c r="F37" s="574">
        <v>10</v>
      </c>
      <c r="G37" s="574">
        <v>15</v>
      </c>
      <c r="H37" s="574">
        <v>20</v>
      </c>
      <c r="I37" s="574">
        <v>20</v>
      </c>
      <c r="J37" s="574">
        <v>20</v>
      </c>
      <c r="K37" s="574">
        <v>20</v>
      </c>
    </row>
    <row r="38" spans="1:11" x14ac:dyDescent="0.3">
      <c r="A38" s="588"/>
    </row>
  </sheetData>
  <mergeCells count="1">
    <mergeCell ref="B15:F15"/>
  </mergeCell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9"/>
  <sheetViews>
    <sheetView zoomScale="85" zoomScaleNormal="85" workbookViewId="0">
      <selection activeCell="G5" sqref="G5"/>
    </sheetView>
  </sheetViews>
  <sheetFormatPr defaultColWidth="9.1796875" defaultRowHeight="14" x14ac:dyDescent="0.3"/>
  <cols>
    <col min="1" max="1" width="24.81640625" style="529" customWidth="1"/>
    <col min="2" max="2" width="9.7265625" style="529" customWidth="1"/>
    <col min="3" max="3" width="10.54296875" style="529" customWidth="1"/>
    <col min="4" max="16384" width="9.1796875" style="529"/>
  </cols>
  <sheetData>
    <row r="2" spans="1:9" x14ac:dyDescent="0.3">
      <c r="A2" s="883" t="str">
        <f>'Sots.majanduslik moju'!B95</f>
        <v>Näitaja</v>
      </c>
      <c r="B2" s="883"/>
      <c r="C2" s="883" t="str">
        <f>'Sots.majanduslik moju'!D95</f>
        <v>Tähendus</v>
      </c>
      <c r="D2" s="883"/>
    </row>
    <row r="3" spans="1:9" x14ac:dyDescent="0.3">
      <c r="A3" s="883"/>
      <c r="B3" s="883"/>
      <c r="C3" s="883"/>
      <c r="D3" s="883"/>
    </row>
    <row r="4" spans="1:9" ht="23.25" customHeight="1" x14ac:dyDescent="0.3">
      <c r="A4" s="882" t="str">
        <f>'Sots.majanduslik moju'!B97</f>
        <v>NPV</v>
      </c>
      <c r="B4" s="882"/>
      <c r="C4" s="743">
        <f>'Sots.majanduslik moju'!D97/1000000</f>
        <v>0.22756128693415528</v>
      </c>
      <c r="D4" s="540" t="str">
        <f>'Sots.majanduslik moju'!E97</f>
        <v>mln eurot</v>
      </c>
    </row>
    <row r="5" spans="1:9" ht="15.5" x14ac:dyDescent="0.35">
      <c r="A5" s="882" t="str">
        <f>'Sots.majanduslik moju'!B98</f>
        <v>PI</v>
      </c>
      <c r="B5" s="882"/>
      <c r="C5" s="635">
        <f>'Sots.majanduslik moju'!D98</f>
        <v>1.02153069456139</v>
      </c>
      <c r="D5" s="540" t="s">
        <v>377</v>
      </c>
      <c r="E5" s="607"/>
      <c r="F5" s="403"/>
      <c r="H5" s="543"/>
      <c r="I5" s="701">
        <f>C6/4%</f>
        <v>1.0667498411146392</v>
      </c>
    </row>
    <row r="6" spans="1:9" ht="15.5" x14ac:dyDescent="0.35">
      <c r="A6" s="882" t="str">
        <f>'Sots.majanduslik moju'!B99</f>
        <v>IRR</v>
      </c>
      <c r="B6" s="882"/>
      <c r="C6" s="636">
        <f>'Sots.majanduslik moju'!D99</f>
        <v>4.2669993644585569E-2</v>
      </c>
      <c r="D6" s="540"/>
      <c r="E6" s="608"/>
      <c r="F6" s="403"/>
    </row>
    <row r="7" spans="1:9" ht="15.5" x14ac:dyDescent="0.35">
      <c r="A7" s="882" t="str">
        <f>'Sots.majanduslik moju'!B100</f>
        <v>DPP</v>
      </c>
      <c r="B7" s="882"/>
      <c r="C7" s="539">
        <f>'Sots.majanduslik moju'!D100</f>
        <v>13</v>
      </c>
      <c r="D7" s="540" t="str">
        <f>'Sots.majanduslik moju'!E100</f>
        <v>aasta</v>
      </c>
      <c r="E7" s="609"/>
      <c r="F7" s="403"/>
    </row>
    <row r="8" spans="1:9" ht="15.5" x14ac:dyDescent="0.35">
      <c r="C8" s="610"/>
      <c r="D8" s="403"/>
      <c r="E8" s="610"/>
      <c r="F8" s="403"/>
    </row>
    <row r="12" spans="1:9" ht="33.75" customHeight="1" x14ac:dyDescent="0.3">
      <c r="A12" s="604"/>
      <c r="B12" s="604"/>
      <c r="C12" s="884" t="s">
        <v>358</v>
      </c>
      <c r="D12" s="884"/>
      <c r="E12" s="884"/>
      <c r="F12" s="884"/>
      <c r="G12" s="884"/>
      <c r="H12" s="884"/>
    </row>
    <row r="13" spans="1:9" ht="23.25" customHeight="1" x14ac:dyDescent="0.3">
      <c r="A13" s="605"/>
      <c r="B13" s="606"/>
      <c r="C13" s="885" t="s">
        <v>348</v>
      </c>
      <c r="D13" s="886"/>
      <c r="E13" s="885" t="s">
        <v>349</v>
      </c>
      <c r="F13" s="886"/>
      <c r="G13" s="885" t="s">
        <v>518</v>
      </c>
      <c r="H13" s="886"/>
    </row>
    <row r="14" spans="1:9" ht="15.5" x14ac:dyDescent="0.3">
      <c r="A14" s="887" t="s">
        <v>350</v>
      </c>
      <c r="B14" s="887"/>
      <c r="C14" s="888">
        <f>'Sots.majanduslik moju'!W60</f>
        <v>22.8</v>
      </c>
      <c r="D14" s="889"/>
      <c r="E14" s="890">
        <f>'Sots.majanduslik moju'!X60</f>
        <v>72</v>
      </c>
      <c r="F14" s="891"/>
      <c r="G14" s="890">
        <f>'Sots.majanduslik moju'!Y60</f>
        <v>142.80000000000001</v>
      </c>
      <c r="H14" s="891"/>
    </row>
    <row r="15" spans="1:9" ht="34.5" customHeight="1" x14ac:dyDescent="0.3">
      <c r="A15" s="887" t="s">
        <v>351</v>
      </c>
      <c r="B15" s="887"/>
      <c r="C15" s="885"/>
      <c r="D15" s="886"/>
      <c r="E15" s="885"/>
      <c r="F15" s="886"/>
      <c r="G15" s="885"/>
      <c r="H15" s="886"/>
    </row>
    <row r="16" spans="1:9" ht="15.5" x14ac:dyDescent="0.3">
      <c r="A16" s="892" t="s">
        <v>352</v>
      </c>
      <c r="B16" s="892"/>
      <c r="C16" s="893">
        <f>'Sots.majanduslik moju'!W55/1000000</f>
        <v>0.18187655616000004</v>
      </c>
      <c r="D16" s="894"/>
      <c r="E16" s="893">
        <f>('Sots.majanduslik moju'!X55)/1000000</f>
        <v>1.4445386242560003</v>
      </c>
      <c r="F16" s="894">
        <v>0</v>
      </c>
      <c r="G16" s="893">
        <f>('Sots.majanduslik moju'!Y55)/1000000</f>
        <v>3.4343106100992005</v>
      </c>
      <c r="H16" s="894">
        <v>0</v>
      </c>
    </row>
    <row r="17" spans="1:8" ht="15.5" x14ac:dyDescent="0.3">
      <c r="A17" s="892" t="s">
        <v>353</v>
      </c>
      <c r="B17" s="892"/>
      <c r="C17" s="893">
        <f>('Sots.majanduslik moju'!W56)/1000000</f>
        <v>5.0277566592E-2</v>
      </c>
      <c r="D17" s="894">
        <v>0</v>
      </c>
      <c r="E17" s="893">
        <f>('Sots.majanduslik moju'!X56)/1000000</f>
        <v>0.5016675958272</v>
      </c>
      <c r="F17" s="894">
        <v>0</v>
      </c>
      <c r="G17" s="893">
        <f>('Sots.majanduslik moju'!Y56)/1000000</f>
        <v>1.2980590992230401</v>
      </c>
      <c r="H17" s="894">
        <v>0</v>
      </c>
    </row>
    <row r="18" spans="1:8" ht="15.5" x14ac:dyDescent="0.3">
      <c r="A18" s="892" t="s">
        <v>354</v>
      </c>
      <c r="B18" s="892"/>
      <c r="C18" s="893">
        <f>('Sots.majanduslik moju'!W58)/1000000</f>
        <v>0.57637799999999995</v>
      </c>
      <c r="D18" s="894">
        <v>0</v>
      </c>
      <c r="E18" s="893">
        <f>('Sots.majanduslik moju'!X58)/1000000</f>
        <v>5.1420599999999999</v>
      </c>
      <c r="F18" s="894">
        <v>0</v>
      </c>
      <c r="G18" s="893">
        <f>('Sots.majanduslik moju'!Y58)/1000000</f>
        <v>12.079386</v>
      </c>
      <c r="H18" s="894">
        <v>0</v>
      </c>
    </row>
    <row r="19" spans="1:8" ht="31.5" customHeight="1" x14ac:dyDescent="0.3">
      <c r="A19" s="892" t="s">
        <v>355</v>
      </c>
      <c r="B19" s="892"/>
      <c r="C19" s="893">
        <f>('Sots.majanduslik moju'!W57)/1000000</f>
        <v>2.9085572273472002E-2</v>
      </c>
      <c r="D19" s="894">
        <v>0</v>
      </c>
      <c r="E19" s="893">
        <f>('Sots.majanduslik moju'!X57)/1000000</f>
        <v>0.29021470418603518</v>
      </c>
      <c r="F19" s="894">
        <v>0</v>
      </c>
      <c r="G19" s="893">
        <f>('Sots.majanduslik moju'!Y57)/1000000</f>
        <v>0.75092718890052856</v>
      </c>
      <c r="H19" s="894">
        <v>0</v>
      </c>
    </row>
    <row r="20" spans="1:8" ht="33.75" customHeight="1" x14ac:dyDescent="0.3">
      <c r="A20" s="887" t="s">
        <v>359</v>
      </c>
      <c r="B20" s="887"/>
      <c r="C20" s="888">
        <f>('Sots.majanduslik moju'!W69)/1000000</f>
        <v>2.661</v>
      </c>
      <c r="D20" s="889">
        <v>0</v>
      </c>
      <c r="E20" s="888">
        <f>('Sots.majanduslik moju'!X69)/1000000</f>
        <v>25.17</v>
      </c>
      <c r="F20" s="889">
        <v>0</v>
      </c>
      <c r="G20" s="888">
        <f>('Sots.majanduslik moju'!Y69)/1000000</f>
        <v>59.756999999999998</v>
      </c>
      <c r="H20" s="889">
        <v>0</v>
      </c>
    </row>
    <row r="21" spans="1:8" ht="24" customHeight="1" x14ac:dyDescent="0.3">
      <c r="A21" s="887" t="s">
        <v>356</v>
      </c>
      <c r="B21" s="887"/>
      <c r="C21" s="888">
        <f>('Sots.majanduslik moju'!W70)/1000000</f>
        <v>4.1099999999999998E-2</v>
      </c>
      <c r="D21" s="889">
        <v>0</v>
      </c>
      <c r="E21" s="888">
        <f>('Sots.majanduslik moju'!X70)/1000000</f>
        <v>1.7969999999999999</v>
      </c>
      <c r="F21" s="889">
        <v>0</v>
      </c>
      <c r="G21" s="888">
        <f>('Sots.majanduslik moju'!Y70)/1000000</f>
        <v>4.8506999999999998</v>
      </c>
      <c r="H21" s="889">
        <v>0</v>
      </c>
    </row>
    <row r="22" spans="1:8" ht="20.25" customHeight="1" x14ac:dyDescent="0.3">
      <c r="A22" s="887" t="s">
        <v>357</v>
      </c>
      <c r="B22" s="887"/>
      <c r="C22" s="888">
        <f>('Sots.majanduslik moju'!W71)/1000000</f>
        <v>1.3305</v>
      </c>
      <c r="D22" s="889">
        <v>0</v>
      </c>
      <c r="E22" s="888">
        <f>('Sots.majanduslik moju'!X71)/1000000</f>
        <v>12.585000000000001</v>
      </c>
      <c r="F22" s="889">
        <v>0</v>
      </c>
      <c r="G22" s="888">
        <f>('Sots.majanduslik moju'!Y71)/1000000</f>
        <v>29.878499999999999</v>
      </c>
      <c r="H22" s="889">
        <v>0</v>
      </c>
    </row>
    <row r="27" spans="1:8" ht="28" x14ac:dyDescent="0.3">
      <c r="A27" s="739" t="s">
        <v>557</v>
      </c>
      <c r="B27" s="740" t="s">
        <v>558</v>
      </c>
      <c r="C27" s="740" t="s">
        <v>559</v>
      </c>
      <c r="D27" s="740" t="s">
        <v>560</v>
      </c>
    </row>
    <row r="28" spans="1:8" x14ac:dyDescent="0.3">
      <c r="A28" s="739" t="s">
        <v>561</v>
      </c>
      <c r="B28" s="741">
        <f>Tulud25!N34</f>
        <v>0.25</v>
      </c>
      <c r="C28" s="741">
        <f>Tulud50!N34</f>
        <v>0.5</v>
      </c>
      <c r="D28" s="741">
        <f>Tulud75!N34</f>
        <v>0.75</v>
      </c>
    </row>
    <row r="33" spans="1:13" x14ac:dyDescent="0.3">
      <c r="A33" s="882"/>
      <c r="B33" s="882"/>
      <c r="C33" s="882"/>
      <c r="D33" s="882" t="s">
        <v>562</v>
      </c>
      <c r="E33" s="882"/>
      <c r="F33" s="882"/>
      <c r="G33" s="882"/>
      <c r="H33" s="882"/>
      <c r="I33" s="882"/>
    </row>
    <row r="34" spans="1:13" x14ac:dyDescent="0.3">
      <c r="A34" s="882"/>
      <c r="B34" s="882"/>
      <c r="C34" s="882"/>
      <c r="D34" s="882" t="s">
        <v>563</v>
      </c>
      <c r="E34" s="882"/>
      <c r="F34" s="882" t="s">
        <v>564</v>
      </c>
      <c r="G34" s="882"/>
      <c r="H34" s="882" t="s">
        <v>565</v>
      </c>
      <c r="I34" s="882"/>
    </row>
    <row r="35" spans="1:13" ht="15.5" x14ac:dyDescent="0.3">
      <c r="A35" s="882"/>
      <c r="B35" s="882"/>
      <c r="C35" s="882"/>
      <c r="D35" s="895">
        <f>B28</f>
        <v>0.25</v>
      </c>
      <c r="E35" s="895"/>
      <c r="F35" s="895">
        <f>C28</f>
        <v>0.5</v>
      </c>
      <c r="G35" s="895"/>
      <c r="H35" s="895">
        <f>D28</f>
        <v>0.75</v>
      </c>
      <c r="I35" s="895"/>
    </row>
    <row r="36" spans="1:13" ht="15.5" x14ac:dyDescent="0.3">
      <c r="A36" s="896" t="s">
        <v>566</v>
      </c>
      <c r="B36" s="896"/>
      <c r="C36" s="896"/>
      <c r="D36" s="897">
        <f>'2. Tulud-kulud projektiga'!G53</f>
        <v>172356.80009182001</v>
      </c>
      <c r="E36" s="897"/>
      <c r="F36" s="897">
        <f>'2. Tulud-kulud projektiga'!K53</f>
        <v>346282.43219383998</v>
      </c>
      <c r="G36" s="897"/>
      <c r="H36" s="897">
        <f>'2. Tulud-kulud projektiga'!O53</f>
        <v>521776.89630606002</v>
      </c>
      <c r="I36" s="897"/>
      <c r="K36" s="551" t="e">
        <f>#REF!</f>
        <v>#REF!</v>
      </c>
      <c r="L36" s="551" t="e">
        <f>#REF!</f>
        <v>#REF!</v>
      </c>
      <c r="M36" s="551" t="e">
        <f>#REF!</f>
        <v>#REF!</v>
      </c>
    </row>
    <row r="37" spans="1:13" ht="15.5" x14ac:dyDescent="0.3">
      <c r="A37" s="896" t="s">
        <v>567</v>
      </c>
      <c r="B37" s="896"/>
      <c r="C37" s="896"/>
      <c r="D37" s="897">
        <f>'2. Tulud-kulud projektiga'!G118</f>
        <v>352184.37186727999</v>
      </c>
      <c r="E37" s="897"/>
      <c r="F37" s="897">
        <f>'2. Tulud-kulud projektiga'!K118</f>
        <v>361855.93338767998</v>
      </c>
      <c r="G37" s="897"/>
      <c r="H37" s="897">
        <f>'2. Tulud-kulud projektiga'!O118</f>
        <v>371527.49490807997</v>
      </c>
      <c r="I37" s="897"/>
      <c r="K37" s="742" t="e">
        <f>K36/D36</f>
        <v>#REF!</v>
      </c>
      <c r="L37" s="742" t="e">
        <f>L36/F36</f>
        <v>#REF!</v>
      </c>
      <c r="M37" s="742" t="e">
        <f>M36/H36</f>
        <v>#REF!</v>
      </c>
    </row>
    <row r="38" spans="1:13" ht="15.5" x14ac:dyDescent="0.3">
      <c r="A38" s="896" t="s">
        <v>568</v>
      </c>
      <c r="B38" s="896"/>
      <c r="C38" s="896"/>
      <c r="D38" s="897">
        <f>D36-D37</f>
        <v>-179827.57177545998</v>
      </c>
      <c r="E38" s="897"/>
      <c r="F38" s="897">
        <f t="shared" ref="F38" si="0">F36-F37</f>
        <v>-15573.501193839998</v>
      </c>
      <c r="G38" s="897"/>
      <c r="H38" s="897">
        <f t="shared" ref="H38" si="1">H36-H37</f>
        <v>150249.40139798005</v>
      </c>
      <c r="I38" s="897"/>
    </row>
    <row r="39" spans="1:13" ht="15.5" x14ac:dyDescent="0.3">
      <c r="A39" s="896" t="s">
        <v>569</v>
      </c>
      <c r="B39" s="896"/>
      <c r="C39" s="896"/>
      <c r="D39" s="897">
        <f>D38-Kulud25!E69</f>
        <v>-617347.57177545992</v>
      </c>
      <c r="E39" s="897"/>
      <c r="F39" s="897">
        <f>F38-Kulud50!E69</f>
        <v>-453093.50119384</v>
      </c>
      <c r="G39" s="897"/>
      <c r="H39" s="897">
        <f>H38-Kulud25!E69</f>
        <v>-287270.59860201995</v>
      </c>
      <c r="I39" s="897"/>
    </row>
  </sheetData>
  <mergeCells count="70">
    <mergeCell ref="A38:C38"/>
    <mergeCell ref="D38:E38"/>
    <mergeCell ref="F38:G38"/>
    <mergeCell ref="H38:I38"/>
    <mergeCell ref="A39:C39"/>
    <mergeCell ref="D39:E39"/>
    <mergeCell ref="F39:G39"/>
    <mergeCell ref="H39:I39"/>
    <mergeCell ref="A36:C36"/>
    <mergeCell ref="D36:E36"/>
    <mergeCell ref="F36:G36"/>
    <mergeCell ref="H36:I36"/>
    <mergeCell ref="A37:C37"/>
    <mergeCell ref="D37:E37"/>
    <mergeCell ref="F37:G37"/>
    <mergeCell ref="H37:I37"/>
    <mergeCell ref="A33:C35"/>
    <mergeCell ref="D33:I33"/>
    <mergeCell ref="D34:E34"/>
    <mergeCell ref="F34:G34"/>
    <mergeCell ref="H34:I34"/>
    <mergeCell ref="D35:E35"/>
    <mergeCell ref="F35:G35"/>
    <mergeCell ref="H35:I35"/>
    <mergeCell ref="A22:B22"/>
    <mergeCell ref="C22:D22"/>
    <mergeCell ref="E22:F22"/>
    <mergeCell ref="G22:H22"/>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A16:B16"/>
    <mergeCell ref="C16:D16"/>
    <mergeCell ref="E16:F16"/>
    <mergeCell ref="G16:H16"/>
    <mergeCell ref="A17:B17"/>
    <mergeCell ref="C17:D17"/>
    <mergeCell ref="E17:F17"/>
    <mergeCell ref="G17:H17"/>
    <mergeCell ref="A14:B14"/>
    <mergeCell ref="C14:D14"/>
    <mergeCell ref="E14:F14"/>
    <mergeCell ref="G14:H14"/>
    <mergeCell ref="A15:B15"/>
    <mergeCell ref="C15:D15"/>
    <mergeCell ref="E15:F15"/>
    <mergeCell ref="G15:H15"/>
    <mergeCell ref="A7:B7"/>
    <mergeCell ref="C12:H12"/>
    <mergeCell ref="C13:D13"/>
    <mergeCell ref="E13:F13"/>
    <mergeCell ref="G13:H13"/>
    <mergeCell ref="A6:B6"/>
    <mergeCell ref="C2:D3"/>
    <mergeCell ref="A2:B3"/>
    <mergeCell ref="A4:B4"/>
    <mergeCell ref="A5:B5"/>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
  <sheetViews>
    <sheetView zoomScaleNormal="100" workbookViewId="0">
      <selection activeCell="A13" sqref="A13:B13"/>
    </sheetView>
  </sheetViews>
  <sheetFormatPr defaultColWidth="9.1796875" defaultRowHeight="14.5" outlineLevelCol="1" x14ac:dyDescent="0.35"/>
  <cols>
    <col min="1" max="1" width="16.1796875" style="70" customWidth="1"/>
    <col min="2" max="2" width="29.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74</v>
      </c>
      <c r="D1" s="771" t="s">
        <v>75</v>
      </c>
      <c r="E1" s="771"/>
      <c r="F1" s="771"/>
      <c r="G1" s="771"/>
      <c r="H1" s="771"/>
      <c r="I1" s="771"/>
      <c r="L1" s="130" t="s">
        <v>169</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71</v>
      </c>
      <c r="L2" s="99" t="s">
        <v>69</v>
      </c>
      <c r="M2" s="131" t="s">
        <v>109</v>
      </c>
      <c r="N2" s="131" t="s">
        <v>110</v>
      </c>
      <c r="O2" s="131" t="s">
        <v>170</v>
      </c>
    </row>
    <row r="3" spans="1:15" ht="3.75" customHeight="1" x14ac:dyDescent="0.35">
      <c r="A3" s="84"/>
      <c r="B3" s="89"/>
      <c r="C3" s="85"/>
      <c r="D3" s="86"/>
      <c r="E3" s="86"/>
      <c r="F3" s="86"/>
      <c r="G3" s="86"/>
      <c r="H3" s="86"/>
      <c r="I3" s="86"/>
      <c r="J3" s="87"/>
      <c r="L3" s="91"/>
      <c r="M3" s="74"/>
      <c r="N3" s="74"/>
      <c r="O3" s="134"/>
    </row>
    <row r="4" spans="1:15" ht="21" customHeight="1" x14ac:dyDescent="0.35">
      <c r="A4" s="773" t="s">
        <v>120</v>
      </c>
      <c r="B4" s="774"/>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775" t="s">
        <v>250</v>
      </c>
      <c r="B6" s="776"/>
      <c r="C6" s="76" t="s">
        <v>3</v>
      </c>
      <c r="D6" s="92">
        <v>50000</v>
      </c>
      <c r="E6" s="92"/>
      <c r="F6" s="92"/>
      <c r="G6" s="92"/>
      <c r="H6" s="92"/>
      <c r="I6" s="92"/>
      <c r="J6" s="93">
        <f>SUM(D6:I6)</f>
        <v>50000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9.25" customHeight="1" x14ac:dyDescent="0.35">
      <c r="A8" s="772" t="s">
        <v>249</v>
      </c>
      <c r="B8" s="361" t="s">
        <v>577</v>
      </c>
      <c r="C8" s="76" t="s">
        <v>3</v>
      </c>
      <c r="D8" s="92"/>
      <c r="E8" s="92">
        <f>10948000-10000</f>
        <v>10938000</v>
      </c>
      <c r="F8" s="92"/>
      <c r="G8" s="92"/>
      <c r="H8" s="92"/>
      <c r="I8" s="92"/>
      <c r="J8" s="93">
        <f>SUM(D8:I8)</f>
        <v>10938000</v>
      </c>
      <c r="L8" s="72">
        <v>25</v>
      </c>
      <c r="M8" s="72" t="s">
        <v>111</v>
      </c>
      <c r="N8" s="72">
        <v>2025</v>
      </c>
      <c r="O8" s="132">
        <f>IF(M8=$M$48,N8+L8-1,N8+L8)</f>
        <v>2049</v>
      </c>
    </row>
    <row r="9" spans="1:15" ht="18.75" hidden="1" customHeight="1" x14ac:dyDescent="0.35">
      <c r="A9" s="772"/>
      <c r="B9" s="714"/>
      <c r="C9" s="76" t="s">
        <v>3</v>
      </c>
      <c r="D9" s="92"/>
      <c r="E9" s="92"/>
      <c r="F9" s="92"/>
      <c r="G9" s="92"/>
      <c r="H9" s="92"/>
      <c r="I9" s="92"/>
      <c r="J9" s="93">
        <f t="shared" ref="J9:J12" si="2">SUM(D9:I9)</f>
        <v>0</v>
      </c>
      <c r="L9" s="72"/>
      <c r="M9" s="72"/>
      <c r="N9" s="72"/>
      <c r="O9" s="132">
        <f>IF(M9=$M$48,N9+L9-1,N9+L9)</f>
        <v>0</v>
      </c>
    </row>
    <row r="10" spans="1:15" ht="32.25" hidden="1" customHeight="1" x14ac:dyDescent="0.35">
      <c r="A10" s="772"/>
      <c r="B10" s="361"/>
      <c r="C10" s="76" t="s">
        <v>3</v>
      </c>
      <c r="D10" s="92"/>
      <c r="E10" s="92"/>
      <c r="F10" s="92"/>
      <c r="G10" s="92"/>
      <c r="H10" s="92"/>
      <c r="I10" s="92"/>
      <c r="J10" s="93">
        <f t="shared" si="2"/>
        <v>0</v>
      </c>
      <c r="L10" s="72"/>
      <c r="M10" s="72"/>
      <c r="N10" s="72"/>
      <c r="O10" s="132">
        <f>IF(M10=$M$48,N10+L10-1,N10+L10)</f>
        <v>0</v>
      </c>
    </row>
    <row r="11" spans="1:15" ht="18.75" hidden="1" customHeight="1" x14ac:dyDescent="0.35">
      <c r="A11" s="772"/>
      <c r="B11" s="363"/>
      <c r="C11" s="76" t="s">
        <v>3</v>
      </c>
      <c r="D11" s="92"/>
      <c r="E11" s="92"/>
      <c r="F11" s="92"/>
      <c r="G11" s="92"/>
      <c r="H11" s="92"/>
      <c r="I11" s="92"/>
      <c r="J11" s="93">
        <f t="shared" si="2"/>
        <v>0</v>
      </c>
      <c r="L11" s="72"/>
      <c r="M11" s="72"/>
      <c r="N11" s="72"/>
      <c r="O11" s="132">
        <f>IF(M11=$M$48,N11+L11-1,N11+L11)</f>
        <v>0</v>
      </c>
    </row>
    <row r="12" spans="1:15" ht="13.5" hidden="1" customHeight="1" x14ac:dyDescent="0.35">
      <c r="A12" s="772"/>
      <c r="B12" s="363"/>
      <c r="C12" s="76" t="s">
        <v>3</v>
      </c>
      <c r="D12" s="92"/>
      <c r="E12" s="92"/>
      <c r="F12" s="92"/>
      <c r="G12" s="92"/>
      <c r="H12" s="92"/>
      <c r="I12" s="92"/>
      <c r="J12" s="93">
        <f t="shared" si="2"/>
        <v>0</v>
      </c>
      <c r="L12" s="72"/>
      <c r="M12" s="72"/>
      <c r="N12" s="72"/>
      <c r="O12" s="132">
        <f>IF(M12=$M$48,N12+L12-1,N12+L12)</f>
        <v>0</v>
      </c>
    </row>
    <row r="13" spans="1:15" ht="18" customHeight="1" x14ac:dyDescent="0.35">
      <c r="A13" s="770" t="s">
        <v>145</v>
      </c>
      <c r="B13" s="770"/>
      <c r="C13" s="77" t="s">
        <v>3</v>
      </c>
      <c r="D13" s="93">
        <f t="shared" ref="D13:I13" si="3">SUBTOTAL(9,D8:D12)</f>
        <v>0</v>
      </c>
      <c r="E13" s="93">
        <f t="shared" si="3"/>
        <v>10938000</v>
      </c>
      <c r="F13" s="93">
        <f t="shared" si="3"/>
        <v>0</v>
      </c>
      <c r="G13" s="93">
        <f t="shared" si="3"/>
        <v>0</v>
      </c>
      <c r="H13" s="93">
        <f t="shared" si="3"/>
        <v>0</v>
      </c>
      <c r="I13" s="93">
        <f t="shared" si="3"/>
        <v>0</v>
      </c>
      <c r="J13" s="93">
        <f t="shared" ref="J13" si="4">SUM(D13:I13)</f>
        <v>10938000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780"/>
      <c r="B15" s="781"/>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32.25" customHeight="1" x14ac:dyDescent="0.35">
      <c r="A17" s="775" t="s">
        <v>251</v>
      </c>
      <c r="B17" s="776"/>
      <c r="C17" s="76" t="s">
        <v>3</v>
      </c>
      <c r="D17" s="92"/>
      <c r="E17" s="92"/>
      <c r="F17" s="92">
        <v>2000</v>
      </c>
      <c r="G17" s="92"/>
      <c r="H17" s="92"/>
      <c r="I17" s="92"/>
      <c r="J17" s="93">
        <f>SUM(D17:I17)</f>
        <v>2000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783" t="s">
        <v>70</v>
      </c>
      <c r="B19" s="784"/>
      <c r="C19" s="79" t="s">
        <v>3</v>
      </c>
      <c r="D19" s="97">
        <f t="shared" ref="D19:I19" si="5">SUBTOTAL(9,D4:D17)</f>
        <v>50000</v>
      </c>
      <c r="E19" s="97">
        <f t="shared" si="5"/>
        <v>10938000</v>
      </c>
      <c r="F19" s="97">
        <f t="shared" si="5"/>
        <v>2000</v>
      </c>
      <c r="G19" s="97">
        <f t="shared" si="5"/>
        <v>0</v>
      </c>
      <c r="H19" s="97">
        <f t="shared" si="5"/>
        <v>0</v>
      </c>
      <c r="I19" s="97">
        <f t="shared" si="5"/>
        <v>0</v>
      </c>
      <c r="J19" s="97">
        <f>SUM(D19:I19)</f>
        <v>10990000</v>
      </c>
      <c r="K19" s="80"/>
      <c r="L19" s="777" t="s">
        <v>119</v>
      </c>
      <c r="M19" s="778"/>
      <c r="N19" s="779"/>
      <c r="O19" s="133">
        <f>MAX(O5:O17)</f>
        <v>2049</v>
      </c>
    </row>
    <row r="20" spans="1:15" ht="3.75" customHeight="1" x14ac:dyDescent="0.35">
      <c r="A20" s="73"/>
      <c r="B20" s="90"/>
      <c r="C20" s="74"/>
      <c r="D20" s="18"/>
      <c r="E20" s="18"/>
      <c r="F20" s="18"/>
      <c r="G20" s="18"/>
      <c r="H20" s="18"/>
      <c r="I20" s="18"/>
      <c r="J20" s="78"/>
      <c r="L20" s="4"/>
      <c r="M20" s="74"/>
      <c r="N20" s="74"/>
      <c r="O20" s="134"/>
    </row>
    <row r="21" spans="1:15" ht="28.5" customHeight="1" x14ac:dyDescent="0.35">
      <c r="A21" s="23"/>
      <c r="J21" s="750"/>
      <c r="L21" s="785" t="s">
        <v>171</v>
      </c>
      <c r="M21" s="785"/>
      <c r="N21" s="785"/>
      <c r="O21" s="72">
        <f>IF(O19&lt;=Esileht!B11,0,O19-Esileht!B11)</f>
        <v>11</v>
      </c>
    </row>
    <row r="22" spans="1:15" ht="8.25" customHeight="1" x14ac:dyDescent="0.35">
      <c r="A22" s="1"/>
    </row>
    <row r="23" spans="1:15" ht="22.5" customHeight="1" x14ac:dyDescent="0.35">
      <c r="A23" s="98" t="s">
        <v>73</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71</v>
      </c>
    </row>
    <row r="25" spans="1:15" ht="3.75" customHeight="1" x14ac:dyDescent="0.35">
      <c r="A25" s="84"/>
      <c r="B25" s="89"/>
      <c r="C25" s="85"/>
      <c r="D25" s="86"/>
      <c r="E25" s="86"/>
      <c r="F25" s="86"/>
      <c r="G25" s="86"/>
      <c r="H25" s="86"/>
      <c r="I25" s="86"/>
      <c r="J25" s="87"/>
    </row>
    <row r="26" spans="1:15" ht="21" customHeight="1" x14ac:dyDescent="0.35">
      <c r="A26" s="773" t="s">
        <v>120</v>
      </c>
      <c r="B26" s="774"/>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775" t="s">
        <v>121</v>
      </c>
      <c r="B28" s="776"/>
      <c r="C28" s="76" t="s">
        <v>3</v>
      </c>
      <c r="D28" s="92">
        <f>D6</f>
        <v>50000</v>
      </c>
      <c r="E28" s="92"/>
      <c r="F28" s="92"/>
      <c r="G28" s="92"/>
      <c r="H28" s="92"/>
      <c r="I28" s="92"/>
      <c r="J28" s="93">
        <f>SUM(D28:I28)</f>
        <v>50000</v>
      </c>
    </row>
    <row r="29" spans="1:15" ht="3.75" customHeight="1" x14ac:dyDescent="0.35">
      <c r="A29" s="73"/>
      <c r="B29" s="90"/>
      <c r="C29" s="74"/>
      <c r="D29" s="94"/>
      <c r="E29" s="94"/>
      <c r="F29" s="94"/>
      <c r="G29" s="94"/>
      <c r="H29" s="94"/>
      <c r="I29" s="94"/>
      <c r="J29" s="95"/>
    </row>
    <row r="30" spans="1:15" ht="48" customHeight="1" x14ac:dyDescent="0.35">
      <c r="A30" s="772" t="str">
        <f>A8</f>
        <v>3. Ehitamine</v>
      </c>
      <c r="B30" s="135" t="str">
        <f>B8</f>
        <v>3.1. Loometööstuse inkubaatori koos stuudiokompleksiga ehitamise ja seadmete ostmise kulud</v>
      </c>
      <c r="C30" s="76" t="s">
        <v>3</v>
      </c>
      <c r="D30" s="92"/>
      <c r="E30" s="92">
        <f>E8</f>
        <v>10938000</v>
      </c>
      <c r="F30" s="92"/>
      <c r="G30" s="92"/>
      <c r="H30" s="92"/>
      <c r="I30" s="92"/>
      <c r="J30" s="93">
        <f>SUM(D30:I30)</f>
        <v>10938000</v>
      </c>
    </row>
    <row r="31" spans="1:15" ht="18.75" hidden="1" customHeight="1" x14ac:dyDescent="0.35">
      <c r="A31" s="772"/>
      <c r="B31" s="135">
        <f>B9</f>
        <v>0</v>
      </c>
      <c r="C31" s="76" t="s">
        <v>3</v>
      </c>
      <c r="D31" s="92"/>
      <c r="E31" s="92">
        <f>E9</f>
        <v>0</v>
      </c>
      <c r="F31" s="92">
        <f>F9</f>
        <v>0</v>
      </c>
      <c r="G31" s="92"/>
      <c r="H31" s="92"/>
      <c r="I31" s="92"/>
      <c r="J31" s="93">
        <f t="shared" ref="J31:J34" si="11">SUM(D31:I31)</f>
        <v>0</v>
      </c>
    </row>
    <row r="32" spans="1:15" ht="39" hidden="1" customHeight="1" x14ac:dyDescent="0.35">
      <c r="A32" s="772"/>
      <c r="B32" s="135">
        <f>B10</f>
        <v>0</v>
      </c>
      <c r="C32" s="76" t="s">
        <v>3</v>
      </c>
      <c r="D32" s="92"/>
      <c r="E32" s="92"/>
      <c r="F32" s="92"/>
      <c r="G32" s="92"/>
      <c r="H32" s="92"/>
      <c r="I32" s="92"/>
      <c r="J32" s="93">
        <f t="shared" si="11"/>
        <v>0</v>
      </c>
    </row>
    <row r="33" spans="1:13" ht="20.25" hidden="1" customHeight="1" x14ac:dyDescent="0.35">
      <c r="A33" s="772"/>
      <c r="B33" s="135">
        <f>B11</f>
        <v>0</v>
      </c>
      <c r="C33" s="76" t="s">
        <v>3</v>
      </c>
      <c r="D33" s="92"/>
      <c r="E33" s="92"/>
      <c r="F33" s="92"/>
      <c r="G33" s="92"/>
      <c r="H33" s="92"/>
      <c r="I33" s="92"/>
      <c r="J33" s="93">
        <f t="shared" si="11"/>
        <v>0</v>
      </c>
    </row>
    <row r="34" spans="1:13" ht="15" hidden="1" customHeight="1" x14ac:dyDescent="0.35">
      <c r="A34" s="772"/>
      <c r="B34" s="135">
        <f>B12</f>
        <v>0</v>
      </c>
      <c r="C34" s="76" t="s">
        <v>3</v>
      </c>
      <c r="D34" s="92"/>
      <c r="E34" s="92"/>
      <c r="F34" s="92"/>
      <c r="G34" s="92"/>
      <c r="H34" s="92"/>
      <c r="I34" s="92"/>
      <c r="J34" s="93">
        <f t="shared" si="11"/>
        <v>0</v>
      </c>
    </row>
    <row r="35" spans="1:13" ht="16.5" customHeight="1" x14ac:dyDescent="0.35">
      <c r="A35" s="770" t="str">
        <f>A13</f>
        <v>3. Inkubaatori või tootearenduskeskuse arendamise kulud kokku</v>
      </c>
      <c r="B35" s="770"/>
      <c r="C35" s="77" t="s">
        <v>3</v>
      </c>
      <c r="D35" s="93">
        <f t="shared" ref="D35:I35" si="12">SUBTOTAL(9,D30:D34)</f>
        <v>0</v>
      </c>
      <c r="E35" s="93">
        <f t="shared" si="12"/>
        <v>10938000</v>
      </c>
      <c r="F35" s="93">
        <f t="shared" si="12"/>
        <v>0</v>
      </c>
      <c r="G35" s="93">
        <f t="shared" si="12"/>
        <v>0</v>
      </c>
      <c r="H35" s="93">
        <f t="shared" si="12"/>
        <v>0</v>
      </c>
      <c r="I35" s="93">
        <f t="shared" si="12"/>
        <v>0</v>
      </c>
      <c r="J35" s="93">
        <f t="shared" ref="J35" si="13">SUM(D35:I35)</f>
        <v>10938000</v>
      </c>
    </row>
    <row r="36" spans="1:13" ht="3.75" customHeight="1" x14ac:dyDescent="0.35">
      <c r="A36" s="73"/>
      <c r="B36" s="90"/>
      <c r="C36" s="74"/>
      <c r="D36" s="94"/>
      <c r="E36" s="94"/>
      <c r="F36" s="94"/>
      <c r="G36" s="94"/>
      <c r="H36" s="94"/>
      <c r="I36" s="94"/>
      <c r="J36" s="95"/>
    </row>
    <row r="37" spans="1:13" ht="21" hidden="1" customHeight="1" x14ac:dyDescent="0.35">
      <c r="A37" s="775">
        <f>A15</f>
        <v>0</v>
      </c>
      <c r="B37" s="776"/>
      <c r="C37" s="76" t="s">
        <v>3</v>
      </c>
      <c r="D37" s="92"/>
      <c r="E37" s="92"/>
      <c r="F37" s="92"/>
      <c r="G37" s="92"/>
      <c r="H37" s="92"/>
      <c r="I37" s="92"/>
      <c r="J37" s="93">
        <f>SUM(D37:I37)</f>
        <v>0</v>
      </c>
    </row>
    <row r="38" spans="1:13" ht="3.75" hidden="1" customHeight="1" x14ac:dyDescent="0.35">
      <c r="A38" s="73"/>
      <c r="B38" s="90"/>
      <c r="C38" s="74"/>
      <c r="D38" s="94"/>
      <c r="E38" s="94"/>
      <c r="F38" s="94"/>
      <c r="G38" s="94"/>
      <c r="H38" s="94"/>
      <c r="I38" s="94"/>
      <c r="J38" s="96"/>
    </row>
    <row r="39" spans="1:13" ht="34.5" customHeight="1" x14ac:dyDescent="0.35">
      <c r="A39" s="775" t="str">
        <f>A17</f>
        <v>4. Struktuuritoetuse andmisest avalikkuse teavitamine</v>
      </c>
      <c r="B39" s="776"/>
      <c r="C39" s="76" t="s">
        <v>3</v>
      </c>
      <c r="D39" s="92"/>
      <c r="E39" s="92"/>
      <c r="F39" s="92">
        <f>F17</f>
        <v>2000</v>
      </c>
      <c r="G39" s="92"/>
      <c r="H39" s="92"/>
      <c r="I39" s="92"/>
      <c r="J39" s="93">
        <f>SUM(D39:I39)</f>
        <v>2000</v>
      </c>
    </row>
    <row r="40" spans="1:13" ht="3.75" customHeight="1" x14ac:dyDescent="0.35">
      <c r="A40" s="73"/>
      <c r="B40" s="90"/>
      <c r="C40" s="74"/>
      <c r="D40" s="94"/>
      <c r="E40" s="94"/>
      <c r="F40" s="94"/>
      <c r="G40" s="94"/>
      <c r="H40" s="94"/>
      <c r="I40" s="94"/>
      <c r="J40" s="96"/>
    </row>
    <row r="41" spans="1:13" ht="19.5" customHeight="1" x14ac:dyDescent="0.35">
      <c r="A41" s="783" t="s">
        <v>72</v>
      </c>
      <c r="B41" s="784"/>
      <c r="C41" s="79" t="s">
        <v>3</v>
      </c>
      <c r="D41" s="97">
        <f t="shared" ref="D41:I41" si="14">SUBTOTAL(9,D26:D39)</f>
        <v>50000</v>
      </c>
      <c r="E41" s="97">
        <f t="shared" si="14"/>
        <v>10938000</v>
      </c>
      <c r="F41" s="97">
        <f t="shared" si="14"/>
        <v>2000</v>
      </c>
      <c r="G41" s="97">
        <f t="shared" si="14"/>
        <v>0</v>
      </c>
      <c r="H41" s="97">
        <f t="shared" si="14"/>
        <v>0</v>
      </c>
      <c r="I41" s="97">
        <f t="shared" si="14"/>
        <v>0</v>
      </c>
      <c r="J41" s="97">
        <f>SUM(D41:I41)</f>
        <v>10990000</v>
      </c>
      <c r="K41" s="136">
        <f>IF(J19&gt;0,J41/J19,"")</f>
        <v>1</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782" t="s">
        <v>78</v>
      </c>
      <c r="B44" s="782"/>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3" hidden="1" x14ac:dyDescent="0.35">
      <c r="M48" s="103" t="s">
        <v>111</v>
      </c>
    </row>
    <row r="49" spans="13:13" hidden="1" x14ac:dyDescent="0.35">
      <c r="M49" s="103" t="s">
        <v>112</v>
      </c>
    </row>
    <row r="50" spans="13:13" hidden="1" x14ac:dyDescent="0.35">
      <c r="M50" s="103" t="s">
        <v>4</v>
      </c>
    </row>
    <row r="51" spans="13:13" hidden="1" x14ac:dyDescent="0.35">
      <c r="M51" s="103" t="s">
        <v>113</v>
      </c>
    </row>
    <row r="52" spans="13:13" hidden="1" x14ac:dyDescent="0.35">
      <c r="M52" s="103" t="s">
        <v>5</v>
      </c>
    </row>
    <row r="53" spans="13:13" hidden="1" x14ac:dyDescent="0.35">
      <c r="M53" s="103" t="s">
        <v>6</v>
      </c>
    </row>
    <row r="54" spans="13:13" hidden="1" x14ac:dyDescent="0.35">
      <c r="M54" s="103" t="s">
        <v>7</v>
      </c>
    </row>
    <row r="55" spans="13:13" hidden="1" x14ac:dyDescent="0.35">
      <c r="M55" s="103" t="s">
        <v>114</v>
      </c>
    </row>
    <row r="56" spans="13:13" hidden="1" x14ac:dyDescent="0.35">
      <c r="M56" s="103" t="s">
        <v>115</v>
      </c>
    </row>
    <row r="57" spans="13:13" hidden="1" x14ac:dyDescent="0.35">
      <c r="M57" s="103" t="s">
        <v>116</v>
      </c>
    </row>
    <row r="58" spans="13:13" hidden="1" x14ac:dyDescent="0.35">
      <c r="M58" s="103" t="s">
        <v>117</v>
      </c>
    </row>
    <row r="59" spans="13:13" hidden="1" x14ac:dyDescent="0.35">
      <c r="M59" s="103" t="s">
        <v>118</v>
      </c>
    </row>
  </sheetData>
  <mergeCells count="18">
    <mergeCell ref="L19:N19"/>
    <mergeCell ref="A15:B15"/>
    <mergeCell ref="A44:B44"/>
    <mergeCell ref="A19:B19"/>
    <mergeCell ref="A26:B26"/>
    <mergeCell ref="A37:B37"/>
    <mergeCell ref="A39:B39"/>
    <mergeCell ref="A41:B41"/>
    <mergeCell ref="A17:B17"/>
    <mergeCell ref="A28:B28"/>
    <mergeCell ref="A30:A34"/>
    <mergeCell ref="A35:B35"/>
    <mergeCell ref="L21:N21"/>
    <mergeCell ref="A13:B13"/>
    <mergeCell ref="D1:I1"/>
    <mergeCell ref="A8:A12"/>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588"/>
  <sheetViews>
    <sheetView tabSelected="1" zoomScale="85" zoomScaleNormal="85" workbookViewId="0">
      <pane xSplit="3" ySplit="3" topLeftCell="F24" activePane="bottomRight" state="frozen"/>
      <selection pane="topRight" activeCell="D1" sqref="D1"/>
      <selection pane="bottomLeft" activeCell="A4" sqref="A4"/>
      <selection pane="bottomRight" activeCell="R56" sqref="R56"/>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147</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94"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38</v>
      </c>
      <c r="B5" s="165"/>
      <c r="C5" s="166" t="s">
        <v>2</v>
      </c>
      <c r="D5" s="168"/>
      <c r="E5" s="168"/>
      <c r="F5" s="168"/>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787" t="s">
        <v>578</v>
      </c>
      <c r="B7" s="171" t="s">
        <v>363</v>
      </c>
      <c r="C7" s="172" t="s">
        <v>538</v>
      </c>
      <c r="D7" s="173"/>
      <c r="E7" s="173"/>
      <c r="F7" s="718">
        <f>Tulud25!R27*4/12</f>
        <v>21</v>
      </c>
      <c r="G7" s="718">
        <f>Tulud25!R27</f>
        <v>63</v>
      </c>
      <c r="H7" s="718">
        <f>G7</f>
        <v>63</v>
      </c>
      <c r="I7" s="718">
        <f>Tulud50!R27</f>
        <v>126</v>
      </c>
      <c r="J7" s="718">
        <f>I7</f>
        <v>126</v>
      </c>
      <c r="K7" s="718">
        <f>J7</f>
        <v>126</v>
      </c>
      <c r="L7" s="718">
        <f>K7</f>
        <v>126</v>
      </c>
      <c r="M7" s="718">
        <f>Tulud75!R27</f>
        <v>189</v>
      </c>
      <c r="N7" s="718">
        <f>M7</f>
        <v>189</v>
      </c>
      <c r="O7" s="718">
        <f t="shared" ref="O7:R7" si="3">N7</f>
        <v>189</v>
      </c>
      <c r="P7" s="718">
        <f t="shared" si="3"/>
        <v>189</v>
      </c>
      <c r="Q7" s="718">
        <f t="shared" si="3"/>
        <v>189</v>
      </c>
      <c r="R7" s="718">
        <f t="shared" si="3"/>
        <v>189</v>
      </c>
      <c r="S7" s="163"/>
      <c r="T7" s="163"/>
    </row>
    <row r="8" spans="1:20" ht="15.75" customHeight="1" x14ac:dyDescent="0.35">
      <c r="A8" s="787"/>
      <c r="B8" s="171" t="s">
        <v>0</v>
      </c>
      <c r="C8" s="172" t="s">
        <v>496</v>
      </c>
      <c r="D8" s="173"/>
      <c r="E8" s="173"/>
      <c r="F8" s="173">
        <f>Tulud25!E27</f>
        <v>500</v>
      </c>
      <c r="G8" s="173">
        <f>F8</f>
        <v>500</v>
      </c>
      <c r="H8" s="173">
        <f>G8</f>
        <v>500</v>
      </c>
      <c r="I8" s="173">
        <f>Tulud50!E27</f>
        <v>500</v>
      </c>
      <c r="J8" s="173">
        <f>I8</f>
        <v>500</v>
      </c>
      <c r="K8" s="173">
        <f t="shared" ref="K8:L8" si="4">J8</f>
        <v>500</v>
      </c>
      <c r="L8" s="173">
        <f t="shared" si="4"/>
        <v>500</v>
      </c>
      <c r="M8" s="173">
        <f>Tulud75!E27</f>
        <v>500</v>
      </c>
      <c r="N8" s="173">
        <f>M8</f>
        <v>500</v>
      </c>
      <c r="O8" s="173">
        <f t="shared" ref="O8:R8" si="5">N8</f>
        <v>500</v>
      </c>
      <c r="P8" s="173">
        <f t="shared" si="5"/>
        <v>500</v>
      </c>
      <c r="Q8" s="173">
        <f t="shared" si="5"/>
        <v>500</v>
      </c>
      <c r="R8" s="173">
        <f t="shared" si="5"/>
        <v>500</v>
      </c>
      <c r="S8" s="163"/>
      <c r="T8" s="163"/>
    </row>
    <row r="9" spans="1:20" ht="15.75" customHeight="1" x14ac:dyDescent="0.35">
      <c r="A9" s="787"/>
      <c r="B9" s="175" t="s">
        <v>1</v>
      </c>
      <c r="C9" s="176" t="s">
        <v>3</v>
      </c>
      <c r="D9" s="174">
        <f t="shared" ref="D9:L9" si="6">D7*D8</f>
        <v>0</v>
      </c>
      <c r="E9" s="174">
        <f t="shared" si="6"/>
        <v>0</v>
      </c>
      <c r="F9" s="174">
        <f t="shared" si="6"/>
        <v>10500</v>
      </c>
      <c r="G9" s="174">
        <f t="shared" si="6"/>
        <v>31500</v>
      </c>
      <c r="H9" s="174">
        <f t="shared" si="6"/>
        <v>31500</v>
      </c>
      <c r="I9" s="174">
        <f t="shared" si="6"/>
        <v>63000</v>
      </c>
      <c r="J9" s="174">
        <f t="shared" si="6"/>
        <v>63000</v>
      </c>
      <c r="K9" s="174">
        <f t="shared" si="6"/>
        <v>63000</v>
      </c>
      <c r="L9" s="174">
        <f t="shared" si="6"/>
        <v>63000</v>
      </c>
      <c r="M9" s="174">
        <f t="shared" ref="M9" si="7">M7*M8</f>
        <v>94500</v>
      </c>
      <c r="N9" s="174">
        <f t="shared" ref="N9" si="8">N7*N8</f>
        <v>94500</v>
      </c>
      <c r="O9" s="174">
        <f t="shared" ref="O9" si="9">O7*O8</f>
        <v>94500</v>
      </c>
      <c r="P9" s="174">
        <f t="shared" ref="P9" si="10">P7*P8</f>
        <v>94500</v>
      </c>
      <c r="Q9" s="174">
        <f t="shared" ref="Q9" si="11">Q7*Q8</f>
        <v>94500</v>
      </c>
      <c r="R9" s="174">
        <f t="shared" ref="R9" si="12">R7*R8</f>
        <v>94500</v>
      </c>
      <c r="S9" s="163"/>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63"/>
      <c r="T10" s="163"/>
    </row>
    <row r="11" spans="1:20" x14ac:dyDescent="0.35">
      <c r="A11" s="787" t="s">
        <v>579</v>
      </c>
      <c r="B11" s="171" t="s">
        <v>363</v>
      </c>
      <c r="C11" s="172" t="s">
        <v>538</v>
      </c>
      <c r="D11" s="173"/>
      <c r="E11" s="173"/>
      <c r="F11" s="718">
        <f>Tulud25!R28*4/12</f>
        <v>21</v>
      </c>
      <c r="G11" s="718">
        <f>Tulud25!R28</f>
        <v>63</v>
      </c>
      <c r="H11" s="718">
        <f>G11</f>
        <v>63</v>
      </c>
      <c r="I11" s="718">
        <f>Tulud50!R28</f>
        <v>126</v>
      </c>
      <c r="J11" s="718">
        <f>I11</f>
        <v>126</v>
      </c>
      <c r="K11" s="718">
        <f t="shared" ref="K11:L11" si="13">J11</f>
        <v>126</v>
      </c>
      <c r="L11" s="718">
        <f t="shared" si="13"/>
        <v>126</v>
      </c>
      <c r="M11" s="718">
        <f>Tulud75!R28</f>
        <v>189</v>
      </c>
      <c r="N11" s="718">
        <f>M11</f>
        <v>189</v>
      </c>
      <c r="O11" s="718">
        <f t="shared" ref="O11:R11" si="14">N11</f>
        <v>189</v>
      </c>
      <c r="P11" s="718">
        <f t="shared" si="14"/>
        <v>189</v>
      </c>
      <c r="Q11" s="718">
        <f>P11</f>
        <v>189</v>
      </c>
      <c r="R11" s="718">
        <f t="shared" si="14"/>
        <v>189</v>
      </c>
      <c r="S11" s="163"/>
      <c r="T11" s="163"/>
    </row>
    <row r="12" spans="1:20" x14ac:dyDescent="0.35">
      <c r="A12" s="787"/>
      <c r="B12" s="171" t="s">
        <v>0</v>
      </c>
      <c r="C12" s="172" t="s">
        <v>496</v>
      </c>
      <c r="D12" s="173"/>
      <c r="E12" s="173"/>
      <c r="F12" s="173">
        <f>Tulud25!E28</f>
        <v>650</v>
      </c>
      <c r="G12" s="173">
        <f>F12</f>
        <v>650</v>
      </c>
      <c r="H12" s="173">
        <f>G12</f>
        <v>650</v>
      </c>
      <c r="I12" s="173">
        <f>Tulud50!E28</f>
        <v>650</v>
      </c>
      <c r="J12" s="173">
        <f>I12</f>
        <v>650</v>
      </c>
      <c r="K12" s="173">
        <f t="shared" ref="K12:L12" si="15">J12</f>
        <v>650</v>
      </c>
      <c r="L12" s="173">
        <f t="shared" si="15"/>
        <v>650</v>
      </c>
      <c r="M12" s="173">
        <f>Tulud75!E28</f>
        <v>650</v>
      </c>
      <c r="N12" s="173">
        <f>M12</f>
        <v>650</v>
      </c>
      <c r="O12" s="173">
        <f t="shared" ref="O12:R12" si="16">N12</f>
        <v>650</v>
      </c>
      <c r="P12" s="173">
        <f t="shared" si="16"/>
        <v>650</v>
      </c>
      <c r="Q12" s="173">
        <f t="shared" si="16"/>
        <v>650</v>
      </c>
      <c r="R12" s="173">
        <f t="shared" si="16"/>
        <v>650</v>
      </c>
      <c r="S12" s="163"/>
      <c r="T12" s="163"/>
    </row>
    <row r="13" spans="1:20" x14ac:dyDescent="0.35">
      <c r="A13" s="787"/>
      <c r="B13" s="175" t="s">
        <v>1</v>
      </c>
      <c r="C13" s="176" t="s">
        <v>3</v>
      </c>
      <c r="D13" s="174">
        <f t="shared" ref="D13:L13" si="17">D11*D12</f>
        <v>0</v>
      </c>
      <c r="E13" s="174">
        <f t="shared" si="17"/>
        <v>0</v>
      </c>
      <c r="F13" s="174">
        <f t="shared" si="17"/>
        <v>13650</v>
      </c>
      <c r="G13" s="174">
        <f t="shared" si="17"/>
        <v>40950</v>
      </c>
      <c r="H13" s="174">
        <f t="shared" si="17"/>
        <v>40950</v>
      </c>
      <c r="I13" s="174">
        <f t="shared" si="17"/>
        <v>81900</v>
      </c>
      <c r="J13" s="174">
        <f t="shared" si="17"/>
        <v>81900</v>
      </c>
      <c r="K13" s="174">
        <f t="shared" si="17"/>
        <v>81900</v>
      </c>
      <c r="L13" s="174">
        <f t="shared" si="17"/>
        <v>81900</v>
      </c>
      <c r="M13" s="174">
        <f t="shared" ref="M13" si="18">M11*M12</f>
        <v>122850</v>
      </c>
      <c r="N13" s="174">
        <f t="shared" ref="N13" si="19">N11*N12</f>
        <v>122850</v>
      </c>
      <c r="O13" s="174">
        <f t="shared" ref="O13" si="20">O11*O12</f>
        <v>122850</v>
      </c>
      <c r="P13" s="174">
        <f t="shared" ref="P13" si="21">P11*P12</f>
        <v>122850</v>
      </c>
      <c r="Q13" s="174">
        <f t="shared" ref="Q13" si="22">Q11*Q12</f>
        <v>122850</v>
      </c>
      <c r="R13" s="174">
        <f t="shared" ref="R13" si="23">R11*R12</f>
        <v>122850</v>
      </c>
      <c r="S13" s="163"/>
      <c r="T13" s="163"/>
    </row>
    <row r="14" spans="1:20" ht="4.5" customHeight="1" x14ac:dyDescent="0.35">
      <c r="A14" s="177"/>
      <c r="B14" s="178"/>
      <c r="C14" s="179"/>
      <c r="D14" s="179"/>
      <c r="E14" s="179"/>
      <c r="F14" s="179"/>
      <c r="G14" s="179"/>
      <c r="H14" s="179"/>
      <c r="I14" s="179"/>
      <c r="J14" s="179"/>
      <c r="K14" s="179"/>
      <c r="L14" s="179"/>
      <c r="M14" s="179"/>
      <c r="N14" s="179"/>
      <c r="O14" s="179"/>
      <c r="P14" s="179"/>
      <c r="Q14" s="179"/>
      <c r="R14" s="180"/>
      <c r="S14" s="163"/>
      <c r="T14" s="163"/>
    </row>
    <row r="15" spans="1:20" x14ac:dyDescent="0.35">
      <c r="A15" s="787" t="s">
        <v>580</v>
      </c>
      <c r="B15" s="171" t="s">
        <v>57</v>
      </c>
      <c r="C15" s="172" t="s">
        <v>293</v>
      </c>
      <c r="D15" s="173"/>
      <c r="E15" s="173"/>
      <c r="F15" s="173">
        <f>Tulud25!N29*4/12</f>
        <v>150.65</v>
      </c>
      <c r="G15" s="173">
        <f>Tulud25!N29</f>
        <v>451.95</v>
      </c>
      <c r="H15" s="173">
        <f>G15</f>
        <v>451.95</v>
      </c>
      <c r="I15" s="173">
        <f>Tulud50!N29</f>
        <v>903.9</v>
      </c>
      <c r="J15" s="173">
        <f>I15</f>
        <v>903.9</v>
      </c>
      <c r="K15" s="173">
        <f t="shared" ref="K15:L15" si="24">J15</f>
        <v>903.9</v>
      </c>
      <c r="L15" s="173">
        <f t="shared" si="24"/>
        <v>903.9</v>
      </c>
      <c r="M15" s="173">
        <f>Tulud75!N29</f>
        <v>1355.85</v>
      </c>
      <c r="N15" s="173">
        <f>M15</f>
        <v>1355.85</v>
      </c>
      <c r="O15" s="173">
        <f t="shared" ref="O15:R15" si="25">N15</f>
        <v>1355.85</v>
      </c>
      <c r="P15" s="173">
        <f t="shared" si="25"/>
        <v>1355.85</v>
      </c>
      <c r="Q15" s="173">
        <f t="shared" si="25"/>
        <v>1355.85</v>
      </c>
      <c r="R15" s="173">
        <f t="shared" si="25"/>
        <v>1355.85</v>
      </c>
      <c r="S15" s="163"/>
      <c r="T15" s="163"/>
    </row>
    <row r="16" spans="1:20" x14ac:dyDescent="0.35">
      <c r="A16" s="787"/>
      <c r="B16" s="171" t="s">
        <v>0</v>
      </c>
      <c r="C16" s="172" t="s">
        <v>537</v>
      </c>
      <c r="D16" s="173"/>
      <c r="E16" s="173"/>
      <c r="F16" s="173">
        <f>Tulud25!E29*12</f>
        <v>84</v>
      </c>
      <c r="G16" s="173">
        <f>F16</f>
        <v>84</v>
      </c>
      <c r="H16" s="173">
        <f>G16</f>
        <v>84</v>
      </c>
      <c r="I16" s="173">
        <f>Tulud50!E29*12</f>
        <v>84</v>
      </c>
      <c r="J16" s="173">
        <f>I16</f>
        <v>84</v>
      </c>
      <c r="K16" s="173">
        <f t="shared" ref="K16:L16" si="26">J16</f>
        <v>84</v>
      </c>
      <c r="L16" s="173">
        <f t="shared" si="26"/>
        <v>84</v>
      </c>
      <c r="M16" s="173">
        <f>Tulud75!E29*12</f>
        <v>84</v>
      </c>
      <c r="N16" s="173">
        <f>M16</f>
        <v>84</v>
      </c>
      <c r="O16" s="173">
        <f t="shared" ref="O16:R16" si="27">N16</f>
        <v>84</v>
      </c>
      <c r="P16" s="173">
        <f t="shared" si="27"/>
        <v>84</v>
      </c>
      <c r="Q16" s="173">
        <f t="shared" si="27"/>
        <v>84</v>
      </c>
      <c r="R16" s="173">
        <f t="shared" si="27"/>
        <v>84</v>
      </c>
      <c r="S16" s="163"/>
      <c r="T16" s="163"/>
    </row>
    <row r="17" spans="1:20" x14ac:dyDescent="0.35">
      <c r="A17" s="787"/>
      <c r="B17" s="175" t="s">
        <v>1</v>
      </c>
      <c r="C17" s="176" t="s">
        <v>3</v>
      </c>
      <c r="D17" s="174">
        <f t="shared" ref="D17:L17" si="28">D15*D16</f>
        <v>0</v>
      </c>
      <c r="E17" s="174">
        <f t="shared" si="28"/>
        <v>0</v>
      </c>
      <c r="F17" s="174">
        <f t="shared" si="28"/>
        <v>12654.6</v>
      </c>
      <c r="G17" s="174">
        <f t="shared" si="28"/>
        <v>37963.799999999996</v>
      </c>
      <c r="H17" s="174">
        <f t="shared" si="28"/>
        <v>37963.799999999996</v>
      </c>
      <c r="I17" s="174">
        <f t="shared" si="28"/>
        <v>75927.599999999991</v>
      </c>
      <c r="J17" s="174">
        <f t="shared" si="28"/>
        <v>75927.599999999991</v>
      </c>
      <c r="K17" s="174">
        <f t="shared" si="28"/>
        <v>75927.599999999991</v>
      </c>
      <c r="L17" s="174">
        <f t="shared" si="28"/>
        <v>75927.599999999991</v>
      </c>
      <c r="M17" s="174">
        <f t="shared" ref="M17" si="29">M15*M16</f>
        <v>113891.4</v>
      </c>
      <c r="N17" s="174">
        <f t="shared" ref="N17" si="30">N15*N16</f>
        <v>113891.4</v>
      </c>
      <c r="O17" s="174">
        <f t="shared" ref="O17" si="31">O15*O16</f>
        <v>113891.4</v>
      </c>
      <c r="P17" s="174">
        <f t="shared" ref="P17" si="32">P15*P16</f>
        <v>113891.4</v>
      </c>
      <c r="Q17" s="174">
        <f t="shared" ref="Q17" si="33">Q15*Q16</f>
        <v>113891.4</v>
      </c>
      <c r="R17" s="174">
        <f t="shared" ref="R17" si="34">R15*R16</f>
        <v>113891.4</v>
      </c>
      <c r="S17" s="163"/>
      <c r="T17" s="163"/>
    </row>
    <row r="18" spans="1:20" ht="4.5" customHeight="1" x14ac:dyDescent="0.35">
      <c r="A18" s="177"/>
      <c r="B18" s="178"/>
      <c r="C18" s="179"/>
      <c r="D18" s="179"/>
      <c r="E18" s="179"/>
      <c r="F18" s="179"/>
      <c r="G18" s="179"/>
      <c r="H18" s="179"/>
      <c r="I18" s="179"/>
      <c r="J18" s="179"/>
      <c r="K18" s="179"/>
      <c r="L18" s="179"/>
      <c r="M18" s="179"/>
      <c r="N18" s="179"/>
      <c r="O18" s="179"/>
      <c r="P18" s="179"/>
      <c r="Q18" s="179"/>
      <c r="R18" s="180"/>
      <c r="S18" s="163"/>
      <c r="T18" s="163"/>
    </row>
    <row r="19" spans="1:20" x14ac:dyDescent="0.35">
      <c r="A19" s="787" t="s">
        <v>530</v>
      </c>
      <c r="B19" s="171" t="s">
        <v>58</v>
      </c>
      <c r="C19" s="172" t="s">
        <v>293</v>
      </c>
      <c r="D19" s="173"/>
      <c r="E19" s="173"/>
      <c r="F19" s="173">
        <f>Tulud25!N31*4/12</f>
        <v>105.63333333333334</v>
      </c>
      <c r="G19" s="173">
        <f>Tulud25!N31</f>
        <v>316.90000000000003</v>
      </c>
      <c r="H19" s="173">
        <f>G19</f>
        <v>316.90000000000003</v>
      </c>
      <c r="I19" s="173">
        <f>Tulud50!N31</f>
        <v>633.80000000000007</v>
      </c>
      <c r="J19" s="173">
        <f>I19</f>
        <v>633.80000000000007</v>
      </c>
      <c r="K19" s="173">
        <f t="shared" ref="K19:L19" si="35">J19</f>
        <v>633.80000000000007</v>
      </c>
      <c r="L19" s="173">
        <f t="shared" si="35"/>
        <v>633.80000000000007</v>
      </c>
      <c r="M19" s="173">
        <f>Tulud75!N31</f>
        <v>950.7</v>
      </c>
      <c r="N19" s="173">
        <f>M19</f>
        <v>950.7</v>
      </c>
      <c r="O19" s="173">
        <f t="shared" ref="O19:R19" si="36">N19</f>
        <v>950.7</v>
      </c>
      <c r="P19" s="173">
        <f t="shared" si="36"/>
        <v>950.7</v>
      </c>
      <c r="Q19" s="173">
        <f t="shared" si="36"/>
        <v>950.7</v>
      </c>
      <c r="R19" s="173">
        <f t="shared" si="36"/>
        <v>950.7</v>
      </c>
      <c r="S19" s="163"/>
      <c r="T19" s="163"/>
    </row>
    <row r="20" spans="1:20" x14ac:dyDescent="0.35">
      <c r="A20" s="787"/>
      <c r="B20" s="171" t="s">
        <v>0</v>
      </c>
      <c r="C20" s="172" t="s">
        <v>537</v>
      </c>
      <c r="D20" s="173"/>
      <c r="E20" s="173"/>
      <c r="F20" s="173">
        <f>Tulud25!E31*12</f>
        <v>84</v>
      </c>
      <c r="G20" s="173">
        <f>F20</f>
        <v>84</v>
      </c>
      <c r="H20" s="173">
        <f>G20</f>
        <v>84</v>
      </c>
      <c r="I20" s="173">
        <f>Tulud50!E31*12</f>
        <v>84</v>
      </c>
      <c r="J20" s="173">
        <f>I20</f>
        <v>84</v>
      </c>
      <c r="K20" s="173">
        <f t="shared" ref="K20:L20" si="37">J20</f>
        <v>84</v>
      </c>
      <c r="L20" s="173">
        <f t="shared" si="37"/>
        <v>84</v>
      </c>
      <c r="M20" s="173">
        <f>Tulud75!E31*12</f>
        <v>84</v>
      </c>
      <c r="N20" s="173">
        <f>M20</f>
        <v>84</v>
      </c>
      <c r="O20" s="173">
        <f t="shared" ref="O20:R20" si="38">N20</f>
        <v>84</v>
      </c>
      <c r="P20" s="173">
        <f t="shared" si="38"/>
        <v>84</v>
      </c>
      <c r="Q20" s="173">
        <f t="shared" si="38"/>
        <v>84</v>
      </c>
      <c r="R20" s="173">
        <f t="shared" si="38"/>
        <v>84</v>
      </c>
      <c r="S20" s="163"/>
      <c r="T20" s="163"/>
    </row>
    <row r="21" spans="1:20" x14ac:dyDescent="0.35">
      <c r="A21" s="787"/>
      <c r="B21" s="175" t="s">
        <v>1</v>
      </c>
      <c r="C21" s="176" t="s">
        <v>3</v>
      </c>
      <c r="D21" s="174">
        <f t="shared" ref="D21:L21" si="39">D19*D20</f>
        <v>0</v>
      </c>
      <c r="E21" s="174">
        <f t="shared" si="39"/>
        <v>0</v>
      </c>
      <c r="F21" s="174">
        <f t="shared" si="39"/>
        <v>8873.2000000000007</v>
      </c>
      <c r="G21" s="174">
        <f t="shared" si="39"/>
        <v>26619.600000000002</v>
      </c>
      <c r="H21" s="174">
        <f t="shared" si="39"/>
        <v>26619.600000000002</v>
      </c>
      <c r="I21" s="174">
        <f t="shared" si="39"/>
        <v>53239.200000000004</v>
      </c>
      <c r="J21" s="174">
        <f t="shared" si="39"/>
        <v>53239.200000000004</v>
      </c>
      <c r="K21" s="174">
        <f t="shared" si="39"/>
        <v>53239.200000000004</v>
      </c>
      <c r="L21" s="174">
        <f t="shared" si="39"/>
        <v>53239.200000000004</v>
      </c>
      <c r="M21" s="174">
        <f t="shared" ref="M21" si="40">M19*M20</f>
        <v>79858.8</v>
      </c>
      <c r="N21" s="174">
        <f t="shared" ref="N21" si="41">N19*N20</f>
        <v>79858.8</v>
      </c>
      <c r="O21" s="174">
        <f t="shared" ref="O21" si="42">O19*O20</f>
        <v>79858.8</v>
      </c>
      <c r="P21" s="174">
        <f t="shared" ref="P21" si="43">P19*P20</f>
        <v>79858.8</v>
      </c>
      <c r="Q21" s="174">
        <f t="shared" ref="Q21" si="44">Q19*Q20</f>
        <v>79858.8</v>
      </c>
      <c r="R21" s="174">
        <f t="shared" ref="R21" si="45">R19*R20</f>
        <v>79858.8</v>
      </c>
      <c r="S21" s="163"/>
      <c r="T21" s="163"/>
    </row>
    <row r="22" spans="1:20" ht="4.5" customHeight="1" x14ac:dyDescent="0.35">
      <c r="A22" s="177"/>
      <c r="B22" s="178"/>
      <c r="C22" s="179"/>
      <c r="D22" s="179"/>
      <c r="E22" s="179"/>
      <c r="F22" s="179"/>
      <c r="G22" s="179"/>
      <c r="H22" s="179"/>
      <c r="I22" s="179"/>
      <c r="J22" s="179"/>
      <c r="K22" s="179"/>
      <c r="L22" s="179"/>
      <c r="M22" s="179"/>
      <c r="N22" s="179"/>
      <c r="O22" s="179"/>
      <c r="P22" s="179"/>
      <c r="Q22" s="179"/>
      <c r="R22" s="180"/>
      <c r="S22" s="163"/>
      <c r="T22" s="163"/>
    </row>
    <row r="23" spans="1:20" x14ac:dyDescent="0.35">
      <c r="A23" s="787" t="s">
        <v>413</v>
      </c>
      <c r="B23" s="171" t="s">
        <v>59</v>
      </c>
      <c r="C23" s="172" t="s">
        <v>539</v>
      </c>
      <c r="D23" s="173"/>
      <c r="E23" s="173"/>
      <c r="F23" s="173">
        <v>4</v>
      </c>
      <c r="G23" s="173">
        <v>12</v>
      </c>
      <c r="H23" s="173">
        <f t="shared" ref="H23:R23" si="46">G23</f>
        <v>12</v>
      </c>
      <c r="I23" s="173">
        <f t="shared" si="46"/>
        <v>12</v>
      </c>
      <c r="J23" s="173">
        <f t="shared" si="46"/>
        <v>12</v>
      </c>
      <c r="K23" s="173">
        <f t="shared" si="46"/>
        <v>12</v>
      </c>
      <c r="L23" s="173">
        <f t="shared" si="46"/>
        <v>12</v>
      </c>
      <c r="M23" s="173">
        <f t="shared" si="46"/>
        <v>12</v>
      </c>
      <c r="N23" s="173">
        <f t="shared" si="46"/>
        <v>12</v>
      </c>
      <c r="O23" s="173">
        <f t="shared" si="46"/>
        <v>12</v>
      </c>
      <c r="P23" s="173">
        <f t="shared" si="46"/>
        <v>12</v>
      </c>
      <c r="Q23" s="173">
        <f t="shared" si="46"/>
        <v>12</v>
      </c>
      <c r="R23" s="173">
        <f t="shared" si="46"/>
        <v>12</v>
      </c>
      <c r="S23" s="163"/>
      <c r="T23" s="163"/>
    </row>
    <row r="24" spans="1:20" x14ac:dyDescent="0.35">
      <c r="A24" s="787"/>
      <c r="B24" s="171" t="s">
        <v>0</v>
      </c>
      <c r="C24" s="172" t="s">
        <v>540</v>
      </c>
      <c r="D24" s="173"/>
      <c r="E24" s="173"/>
      <c r="F24" s="173">
        <f>Tulud25!G49</f>
        <v>2943.6166743183335</v>
      </c>
      <c r="G24" s="173">
        <f>F24</f>
        <v>2943.6166743183335</v>
      </c>
      <c r="H24" s="173">
        <f>G24</f>
        <v>2943.6166743183335</v>
      </c>
      <c r="I24" s="173">
        <f>Tulud50!G49</f>
        <v>6017.9693494866669</v>
      </c>
      <c r="J24" s="173">
        <f>I24</f>
        <v>6017.9693494866669</v>
      </c>
      <c r="K24" s="173">
        <f t="shared" ref="K24:L24" si="47">J24</f>
        <v>6017.9693494866669</v>
      </c>
      <c r="L24" s="173">
        <f t="shared" si="47"/>
        <v>6017.9693494866669</v>
      </c>
      <c r="M24" s="173">
        <f>Tulud75!G49</f>
        <v>9223.0580255050008</v>
      </c>
      <c r="N24" s="173">
        <f>M24</f>
        <v>9223.0580255050008</v>
      </c>
      <c r="O24" s="173">
        <f t="shared" ref="O24:R24" si="48">N24</f>
        <v>9223.0580255050008</v>
      </c>
      <c r="P24" s="173">
        <f t="shared" si="48"/>
        <v>9223.0580255050008</v>
      </c>
      <c r="Q24" s="173">
        <f t="shared" si="48"/>
        <v>9223.0580255050008</v>
      </c>
      <c r="R24" s="173">
        <f t="shared" si="48"/>
        <v>9223.0580255050008</v>
      </c>
      <c r="S24" s="163"/>
      <c r="T24" s="163"/>
    </row>
    <row r="25" spans="1:20" x14ac:dyDescent="0.35">
      <c r="A25" s="787"/>
      <c r="B25" s="175" t="s">
        <v>1</v>
      </c>
      <c r="C25" s="176" t="s">
        <v>3</v>
      </c>
      <c r="D25" s="174">
        <f t="shared" ref="D25:L25" si="49">D23*D24</f>
        <v>0</v>
      </c>
      <c r="E25" s="174">
        <f t="shared" si="49"/>
        <v>0</v>
      </c>
      <c r="F25" s="174">
        <f t="shared" si="49"/>
        <v>11774.466697273334</v>
      </c>
      <c r="G25" s="174">
        <f t="shared" si="49"/>
        <v>35323.400091820004</v>
      </c>
      <c r="H25" s="174">
        <f t="shared" si="49"/>
        <v>35323.400091820004</v>
      </c>
      <c r="I25" s="174">
        <f t="shared" si="49"/>
        <v>72215.632193840007</v>
      </c>
      <c r="J25" s="174">
        <f t="shared" si="49"/>
        <v>72215.632193840007</v>
      </c>
      <c r="K25" s="174">
        <f t="shared" si="49"/>
        <v>72215.632193840007</v>
      </c>
      <c r="L25" s="174">
        <f t="shared" si="49"/>
        <v>72215.632193840007</v>
      </c>
      <c r="M25" s="174">
        <f t="shared" ref="M25" si="50">M23*M24</f>
        <v>110676.69630606001</v>
      </c>
      <c r="N25" s="174">
        <f t="shared" ref="N25" si="51">N23*N24</f>
        <v>110676.69630606001</v>
      </c>
      <c r="O25" s="174">
        <f t="shared" ref="O25" si="52">O23*O24</f>
        <v>110676.69630606001</v>
      </c>
      <c r="P25" s="174">
        <f t="shared" ref="P25" si="53">P23*P24</f>
        <v>110676.69630606001</v>
      </c>
      <c r="Q25" s="174">
        <f t="shared" ref="Q25" si="54">Q23*Q24</f>
        <v>110676.69630606001</v>
      </c>
      <c r="R25" s="174">
        <f t="shared" ref="R25" si="55">R23*R24</f>
        <v>110676.69630606001</v>
      </c>
      <c r="S25" s="163"/>
      <c r="T25" s="163"/>
    </row>
    <row r="26" spans="1:20" ht="4.5" customHeight="1" x14ac:dyDescent="0.35">
      <c r="A26" s="177"/>
      <c r="B26" s="178"/>
      <c r="C26" s="179"/>
      <c r="D26" s="179"/>
      <c r="E26" s="179"/>
      <c r="F26" s="179"/>
      <c r="G26" s="179"/>
      <c r="H26" s="179"/>
      <c r="I26" s="179"/>
      <c r="J26" s="179"/>
      <c r="K26" s="179"/>
      <c r="L26" s="179"/>
      <c r="M26" s="179"/>
      <c r="N26" s="179"/>
      <c r="O26" s="179"/>
      <c r="P26" s="179"/>
      <c r="Q26" s="179"/>
      <c r="R26" s="180"/>
      <c r="S26" s="163"/>
      <c r="T26" s="163"/>
    </row>
    <row r="27" spans="1:20" hidden="1" outlineLevel="1" x14ac:dyDescent="0.35">
      <c r="A27" s="786" t="s">
        <v>9</v>
      </c>
      <c r="B27" s="171" t="s">
        <v>60</v>
      </c>
      <c r="C27" s="172"/>
      <c r="D27" s="173"/>
      <c r="E27" s="173"/>
      <c r="F27" s="173"/>
      <c r="G27" s="173"/>
      <c r="H27" s="173"/>
      <c r="I27" s="173"/>
      <c r="J27" s="173"/>
      <c r="K27" s="173"/>
      <c r="L27" s="173"/>
      <c r="M27" s="173"/>
      <c r="N27" s="173"/>
      <c r="O27" s="173"/>
      <c r="P27" s="173"/>
      <c r="Q27" s="173"/>
      <c r="R27" s="173"/>
      <c r="S27" s="163"/>
      <c r="T27" s="163"/>
    </row>
    <row r="28" spans="1:20" hidden="1" outlineLevel="1" x14ac:dyDescent="0.35">
      <c r="A28" s="786"/>
      <c r="B28" s="171" t="s">
        <v>0</v>
      </c>
      <c r="C28" s="172" t="s">
        <v>3</v>
      </c>
      <c r="D28" s="173"/>
      <c r="E28" s="173"/>
      <c r="F28" s="173"/>
      <c r="G28" s="173"/>
      <c r="H28" s="173"/>
      <c r="I28" s="173"/>
      <c r="J28" s="173"/>
      <c r="K28" s="173"/>
      <c r="L28" s="173"/>
      <c r="M28" s="173"/>
      <c r="N28" s="173"/>
      <c r="O28" s="173"/>
      <c r="P28" s="173"/>
      <c r="Q28" s="173"/>
      <c r="R28" s="173"/>
      <c r="S28" s="163"/>
      <c r="T28" s="163"/>
    </row>
    <row r="29" spans="1:20" hidden="1" outlineLevel="1" x14ac:dyDescent="0.35">
      <c r="A29" s="786"/>
      <c r="B29" s="175" t="s">
        <v>1</v>
      </c>
      <c r="C29" s="176" t="s">
        <v>3</v>
      </c>
      <c r="D29" s="174">
        <f t="shared" ref="D29:L29" si="56">D27*D28</f>
        <v>0</v>
      </c>
      <c r="E29" s="174">
        <f t="shared" si="56"/>
        <v>0</v>
      </c>
      <c r="F29" s="174">
        <f t="shared" si="56"/>
        <v>0</v>
      </c>
      <c r="G29" s="174">
        <f t="shared" si="56"/>
        <v>0</v>
      </c>
      <c r="H29" s="174">
        <f t="shared" si="56"/>
        <v>0</v>
      </c>
      <c r="I29" s="174">
        <f t="shared" si="56"/>
        <v>0</v>
      </c>
      <c r="J29" s="174">
        <f t="shared" si="56"/>
        <v>0</v>
      </c>
      <c r="K29" s="174">
        <f t="shared" si="56"/>
        <v>0</v>
      </c>
      <c r="L29" s="174">
        <f t="shared" si="56"/>
        <v>0</v>
      </c>
      <c r="M29" s="174">
        <f t="shared" ref="M29" si="57">M27*M28</f>
        <v>0</v>
      </c>
      <c r="N29" s="174">
        <f t="shared" ref="N29" si="58">N27*N28</f>
        <v>0</v>
      </c>
      <c r="O29" s="174">
        <f t="shared" ref="O29" si="59">O27*O28</f>
        <v>0</v>
      </c>
      <c r="P29" s="174">
        <f t="shared" ref="P29" si="60">P27*P28</f>
        <v>0</v>
      </c>
      <c r="Q29" s="174">
        <f t="shared" ref="Q29" si="61">Q27*Q28</f>
        <v>0</v>
      </c>
      <c r="R29" s="174">
        <f t="shared" ref="R29" si="62">R27*R28</f>
        <v>0</v>
      </c>
      <c r="S29" s="163"/>
      <c r="T29" s="163"/>
    </row>
    <row r="30" spans="1:20" ht="4.5" hidden="1" customHeight="1" outlineLevel="1" x14ac:dyDescent="0.35">
      <c r="A30" s="177"/>
      <c r="B30" s="178"/>
      <c r="C30" s="179"/>
      <c r="D30" s="179"/>
      <c r="E30" s="179"/>
      <c r="F30" s="179"/>
      <c r="G30" s="179"/>
      <c r="H30" s="179"/>
      <c r="I30" s="179"/>
      <c r="J30" s="179"/>
      <c r="K30" s="179"/>
      <c r="L30" s="179"/>
      <c r="M30" s="179"/>
      <c r="N30" s="179"/>
      <c r="O30" s="179"/>
      <c r="P30" s="179"/>
      <c r="Q30" s="179"/>
      <c r="R30" s="180"/>
      <c r="S30" s="163"/>
      <c r="T30" s="163"/>
    </row>
    <row r="31" spans="1:20" hidden="1" outlineLevel="1" x14ac:dyDescent="0.35">
      <c r="A31" s="786" t="s">
        <v>10</v>
      </c>
      <c r="B31" s="171" t="s">
        <v>61</v>
      </c>
      <c r="C31" s="172"/>
      <c r="D31" s="173"/>
      <c r="E31" s="173"/>
      <c r="F31" s="173"/>
      <c r="G31" s="173"/>
      <c r="H31" s="173"/>
      <c r="I31" s="173"/>
      <c r="J31" s="173"/>
      <c r="K31" s="173"/>
      <c r="L31" s="173"/>
      <c r="M31" s="173"/>
      <c r="N31" s="173"/>
      <c r="O31" s="173"/>
      <c r="P31" s="173"/>
      <c r="Q31" s="173"/>
      <c r="R31" s="173"/>
      <c r="S31" s="163"/>
      <c r="T31" s="163"/>
    </row>
    <row r="32" spans="1:20" hidden="1" outlineLevel="1" x14ac:dyDescent="0.35">
      <c r="A32" s="786"/>
      <c r="B32" s="171" t="s">
        <v>0</v>
      </c>
      <c r="C32" s="172" t="s">
        <v>3</v>
      </c>
      <c r="D32" s="173"/>
      <c r="E32" s="173"/>
      <c r="F32" s="173"/>
      <c r="G32" s="173"/>
      <c r="H32" s="173"/>
      <c r="I32" s="173"/>
      <c r="J32" s="173"/>
      <c r="K32" s="173"/>
      <c r="L32" s="173"/>
      <c r="M32" s="173"/>
      <c r="N32" s="173"/>
      <c r="O32" s="173"/>
      <c r="P32" s="173"/>
      <c r="Q32" s="173"/>
      <c r="R32" s="173"/>
      <c r="S32" s="163"/>
      <c r="T32" s="163"/>
    </row>
    <row r="33" spans="1:20" hidden="1" outlineLevel="1" x14ac:dyDescent="0.35">
      <c r="A33" s="786"/>
      <c r="B33" s="175" t="s">
        <v>1</v>
      </c>
      <c r="C33" s="176" t="s">
        <v>3</v>
      </c>
      <c r="D33" s="174">
        <f t="shared" ref="D33:L33" si="63">D31*D32</f>
        <v>0</v>
      </c>
      <c r="E33" s="174">
        <f t="shared" si="63"/>
        <v>0</v>
      </c>
      <c r="F33" s="174">
        <f t="shared" si="63"/>
        <v>0</v>
      </c>
      <c r="G33" s="174">
        <f t="shared" si="63"/>
        <v>0</v>
      </c>
      <c r="H33" s="174">
        <f t="shared" si="63"/>
        <v>0</v>
      </c>
      <c r="I33" s="174">
        <f t="shared" si="63"/>
        <v>0</v>
      </c>
      <c r="J33" s="174">
        <f t="shared" si="63"/>
        <v>0</v>
      </c>
      <c r="K33" s="174">
        <f t="shared" si="63"/>
        <v>0</v>
      </c>
      <c r="L33" s="174">
        <f t="shared" si="63"/>
        <v>0</v>
      </c>
      <c r="M33" s="174">
        <f t="shared" ref="M33" si="64">M31*M32</f>
        <v>0</v>
      </c>
      <c r="N33" s="174">
        <f t="shared" ref="N33" si="65">N31*N32</f>
        <v>0</v>
      </c>
      <c r="O33" s="174">
        <f t="shared" ref="O33" si="66">O31*O32</f>
        <v>0</v>
      </c>
      <c r="P33" s="174">
        <f t="shared" ref="P33" si="67">P31*P32</f>
        <v>0</v>
      </c>
      <c r="Q33" s="174">
        <f t="shared" ref="Q33" si="68">Q31*Q32</f>
        <v>0</v>
      </c>
      <c r="R33" s="174">
        <f t="shared" ref="R33" si="69">R31*R32</f>
        <v>0</v>
      </c>
      <c r="S33" s="163"/>
      <c r="T33" s="163"/>
    </row>
    <row r="34" spans="1:20" ht="4.5" hidden="1" customHeight="1" outlineLevel="1" x14ac:dyDescent="0.35">
      <c r="A34" s="177"/>
      <c r="B34" s="178"/>
      <c r="C34" s="179"/>
      <c r="D34" s="179"/>
      <c r="E34" s="179"/>
      <c r="F34" s="179"/>
      <c r="G34" s="179"/>
      <c r="H34" s="179"/>
      <c r="I34" s="179"/>
      <c r="J34" s="179"/>
      <c r="K34" s="179"/>
      <c r="L34" s="179"/>
      <c r="M34" s="179"/>
      <c r="N34" s="179"/>
      <c r="O34" s="179"/>
      <c r="P34" s="179"/>
      <c r="Q34" s="179"/>
      <c r="R34" s="180"/>
      <c r="S34" s="163"/>
      <c r="T34" s="163"/>
    </row>
    <row r="35" spans="1:20" hidden="1" outlineLevel="1" x14ac:dyDescent="0.35">
      <c r="A35" s="786" t="s">
        <v>11</v>
      </c>
      <c r="B35" s="171" t="s">
        <v>62</v>
      </c>
      <c r="C35" s="172"/>
      <c r="D35" s="173"/>
      <c r="E35" s="173"/>
      <c r="F35" s="173"/>
      <c r="G35" s="173"/>
      <c r="H35" s="173"/>
      <c r="I35" s="173"/>
      <c r="J35" s="173"/>
      <c r="K35" s="173"/>
      <c r="L35" s="173"/>
      <c r="M35" s="173"/>
      <c r="N35" s="173"/>
      <c r="O35" s="173"/>
      <c r="P35" s="173"/>
      <c r="Q35" s="173"/>
      <c r="R35" s="173"/>
      <c r="S35" s="163"/>
      <c r="T35" s="163"/>
    </row>
    <row r="36" spans="1:20" hidden="1" outlineLevel="1" x14ac:dyDescent="0.35">
      <c r="A36" s="786"/>
      <c r="B36" s="171" t="s">
        <v>0</v>
      </c>
      <c r="C36" s="172" t="s">
        <v>3</v>
      </c>
      <c r="D36" s="173"/>
      <c r="E36" s="173"/>
      <c r="F36" s="173"/>
      <c r="G36" s="173"/>
      <c r="H36" s="173"/>
      <c r="I36" s="173"/>
      <c r="J36" s="173"/>
      <c r="K36" s="173"/>
      <c r="L36" s="173"/>
      <c r="M36" s="173"/>
      <c r="N36" s="173"/>
      <c r="O36" s="173"/>
      <c r="P36" s="173"/>
      <c r="Q36" s="173"/>
      <c r="R36" s="173"/>
      <c r="S36" s="163"/>
      <c r="T36" s="163"/>
    </row>
    <row r="37" spans="1:20" hidden="1" outlineLevel="1" x14ac:dyDescent="0.35">
      <c r="A37" s="786"/>
      <c r="B37" s="175" t="s">
        <v>1</v>
      </c>
      <c r="C37" s="176" t="s">
        <v>3</v>
      </c>
      <c r="D37" s="174">
        <f t="shared" ref="D37:L37" si="70">D35*D36</f>
        <v>0</v>
      </c>
      <c r="E37" s="174">
        <f t="shared" si="70"/>
        <v>0</v>
      </c>
      <c r="F37" s="174">
        <f t="shared" si="70"/>
        <v>0</v>
      </c>
      <c r="G37" s="174">
        <f t="shared" si="70"/>
        <v>0</v>
      </c>
      <c r="H37" s="174">
        <f t="shared" si="70"/>
        <v>0</v>
      </c>
      <c r="I37" s="174">
        <f t="shared" si="70"/>
        <v>0</v>
      </c>
      <c r="J37" s="174">
        <f t="shared" si="70"/>
        <v>0</v>
      </c>
      <c r="K37" s="174">
        <f t="shared" si="70"/>
        <v>0</v>
      </c>
      <c r="L37" s="174">
        <f t="shared" si="70"/>
        <v>0</v>
      </c>
      <c r="M37" s="174">
        <f t="shared" ref="M37" si="71">M35*M36</f>
        <v>0</v>
      </c>
      <c r="N37" s="174">
        <f t="shared" ref="N37" si="72">N35*N36</f>
        <v>0</v>
      </c>
      <c r="O37" s="174">
        <f t="shared" ref="O37" si="73">O35*O36</f>
        <v>0</v>
      </c>
      <c r="P37" s="174">
        <f t="shared" ref="P37" si="74">P35*P36</f>
        <v>0</v>
      </c>
      <c r="Q37" s="174">
        <f t="shared" ref="Q37" si="75">Q35*Q36</f>
        <v>0</v>
      </c>
      <c r="R37" s="174">
        <f t="shared" ref="R37" si="76">R35*R36</f>
        <v>0</v>
      </c>
      <c r="S37" s="163"/>
      <c r="T37" s="163"/>
    </row>
    <row r="38" spans="1:20" ht="4.5" hidden="1" customHeight="1" outlineLevel="1" x14ac:dyDescent="0.35">
      <c r="A38" s="177"/>
      <c r="B38" s="178"/>
      <c r="C38" s="179"/>
      <c r="D38" s="179"/>
      <c r="E38" s="179"/>
      <c r="F38" s="179"/>
      <c r="G38" s="179"/>
      <c r="H38" s="179"/>
      <c r="I38" s="179"/>
      <c r="J38" s="179"/>
      <c r="K38" s="179"/>
      <c r="L38" s="179"/>
      <c r="M38" s="179"/>
      <c r="N38" s="179"/>
      <c r="O38" s="179"/>
      <c r="P38" s="179"/>
      <c r="Q38" s="179"/>
      <c r="R38" s="180"/>
      <c r="S38" s="163"/>
      <c r="T38" s="163"/>
    </row>
    <row r="39" spans="1:20" hidden="1" outlineLevel="1" x14ac:dyDescent="0.35">
      <c r="A39" s="786" t="s">
        <v>12</v>
      </c>
      <c r="B39" s="171" t="s">
        <v>63</v>
      </c>
      <c r="C39" s="172"/>
      <c r="D39" s="173"/>
      <c r="E39" s="173"/>
      <c r="F39" s="173"/>
      <c r="G39" s="173"/>
      <c r="H39" s="173"/>
      <c r="I39" s="173"/>
      <c r="J39" s="173"/>
      <c r="K39" s="173"/>
      <c r="L39" s="173"/>
      <c r="M39" s="173"/>
      <c r="N39" s="173"/>
      <c r="O39" s="173"/>
      <c r="P39" s="173"/>
      <c r="Q39" s="173"/>
      <c r="R39" s="173"/>
      <c r="S39" s="163"/>
      <c r="T39" s="163"/>
    </row>
    <row r="40" spans="1:20" hidden="1" outlineLevel="1" x14ac:dyDescent="0.35">
      <c r="A40" s="786"/>
      <c r="B40" s="171" t="s">
        <v>0</v>
      </c>
      <c r="C40" s="172" t="s">
        <v>3</v>
      </c>
      <c r="D40" s="173"/>
      <c r="E40" s="173"/>
      <c r="F40" s="173"/>
      <c r="G40" s="173"/>
      <c r="H40" s="173"/>
      <c r="I40" s="173"/>
      <c r="J40" s="173"/>
      <c r="K40" s="173"/>
      <c r="L40" s="173"/>
      <c r="M40" s="173"/>
      <c r="N40" s="173"/>
      <c r="O40" s="173"/>
      <c r="P40" s="173"/>
      <c r="Q40" s="173"/>
      <c r="R40" s="173"/>
      <c r="S40" s="163"/>
      <c r="T40" s="163"/>
    </row>
    <row r="41" spans="1:20" hidden="1" outlineLevel="1" x14ac:dyDescent="0.35">
      <c r="A41" s="786"/>
      <c r="B41" s="175" t="s">
        <v>1</v>
      </c>
      <c r="C41" s="176" t="s">
        <v>3</v>
      </c>
      <c r="D41" s="174">
        <f t="shared" ref="D41:L41" si="77">D39*D40</f>
        <v>0</v>
      </c>
      <c r="E41" s="174">
        <f t="shared" si="77"/>
        <v>0</v>
      </c>
      <c r="F41" s="174">
        <f t="shared" si="77"/>
        <v>0</v>
      </c>
      <c r="G41" s="174">
        <f t="shared" si="77"/>
        <v>0</v>
      </c>
      <c r="H41" s="174">
        <f t="shared" si="77"/>
        <v>0</v>
      </c>
      <c r="I41" s="174">
        <f t="shared" si="77"/>
        <v>0</v>
      </c>
      <c r="J41" s="174">
        <f t="shared" si="77"/>
        <v>0</v>
      </c>
      <c r="K41" s="174">
        <f t="shared" si="77"/>
        <v>0</v>
      </c>
      <c r="L41" s="174">
        <f t="shared" si="77"/>
        <v>0</v>
      </c>
      <c r="M41" s="174">
        <f t="shared" ref="M41" si="78">M39*M40</f>
        <v>0</v>
      </c>
      <c r="N41" s="174">
        <f t="shared" ref="N41" si="79">N39*N40</f>
        <v>0</v>
      </c>
      <c r="O41" s="174">
        <f t="shared" ref="O41" si="80">O39*O40</f>
        <v>0</v>
      </c>
      <c r="P41" s="174">
        <f t="shared" ref="P41" si="81">P39*P40</f>
        <v>0</v>
      </c>
      <c r="Q41" s="174">
        <f t="shared" ref="Q41" si="82">Q39*Q40</f>
        <v>0</v>
      </c>
      <c r="R41" s="174">
        <f t="shared" ref="R41" si="83">R39*R40</f>
        <v>0</v>
      </c>
      <c r="S41" s="163"/>
      <c r="T41" s="163"/>
    </row>
    <row r="42" spans="1:20" ht="4.5" hidden="1" customHeight="1" outlineLevel="1" x14ac:dyDescent="0.35">
      <c r="A42" s="177"/>
      <c r="B42" s="178"/>
      <c r="C42" s="179"/>
      <c r="D42" s="179"/>
      <c r="E42" s="179"/>
      <c r="F42" s="179"/>
      <c r="G42" s="179"/>
      <c r="H42" s="179"/>
      <c r="I42" s="179"/>
      <c r="J42" s="179"/>
      <c r="K42" s="179"/>
      <c r="L42" s="179"/>
      <c r="M42" s="179"/>
      <c r="N42" s="179"/>
      <c r="O42" s="179"/>
      <c r="P42" s="179"/>
      <c r="Q42" s="179"/>
      <c r="R42" s="180"/>
      <c r="S42" s="163"/>
      <c r="T42" s="163"/>
    </row>
    <row r="43" spans="1:20" hidden="1" outlineLevel="1" x14ac:dyDescent="0.35">
      <c r="A43" s="786" t="s">
        <v>13</v>
      </c>
      <c r="B43" s="171" t="s">
        <v>64</v>
      </c>
      <c r="C43" s="172"/>
      <c r="D43" s="173"/>
      <c r="E43" s="173"/>
      <c r="F43" s="173"/>
      <c r="G43" s="173"/>
      <c r="H43" s="173"/>
      <c r="I43" s="173"/>
      <c r="J43" s="173"/>
      <c r="K43" s="173"/>
      <c r="L43" s="173"/>
      <c r="M43" s="173"/>
      <c r="N43" s="173"/>
      <c r="O43" s="173"/>
      <c r="P43" s="173"/>
      <c r="Q43" s="173"/>
      <c r="R43" s="173"/>
      <c r="S43" s="163"/>
      <c r="T43" s="163"/>
    </row>
    <row r="44" spans="1:20" hidden="1" outlineLevel="1" x14ac:dyDescent="0.35">
      <c r="A44" s="786"/>
      <c r="B44" s="171" t="s">
        <v>0</v>
      </c>
      <c r="C44" s="172" t="s">
        <v>3</v>
      </c>
      <c r="D44" s="173"/>
      <c r="E44" s="173"/>
      <c r="F44" s="173"/>
      <c r="G44" s="173"/>
      <c r="H44" s="173"/>
      <c r="I44" s="173"/>
      <c r="J44" s="173"/>
      <c r="K44" s="173"/>
      <c r="L44" s="173"/>
      <c r="M44" s="173"/>
      <c r="N44" s="173"/>
      <c r="O44" s="173"/>
      <c r="P44" s="173"/>
      <c r="Q44" s="173"/>
      <c r="R44" s="173"/>
      <c r="S44" s="163"/>
      <c r="T44" s="163"/>
    </row>
    <row r="45" spans="1:20" hidden="1" outlineLevel="1" x14ac:dyDescent="0.35">
      <c r="A45" s="786"/>
      <c r="B45" s="175" t="s">
        <v>1</v>
      </c>
      <c r="C45" s="176" t="s">
        <v>3</v>
      </c>
      <c r="D45" s="174">
        <f t="shared" ref="D45:L45" si="84">D43*D44</f>
        <v>0</v>
      </c>
      <c r="E45" s="174">
        <f t="shared" si="84"/>
        <v>0</v>
      </c>
      <c r="F45" s="174">
        <f t="shared" si="84"/>
        <v>0</v>
      </c>
      <c r="G45" s="174">
        <f t="shared" si="84"/>
        <v>0</v>
      </c>
      <c r="H45" s="174">
        <f t="shared" si="84"/>
        <v>0</v>
      </c>
      <c r="I45" s="174">
        <f t="shared" si="84"/>
        <v>0</v>
      </c>
      <c r="J45" s="174">
        <f t="shared" si="84"/>
        <v>0</v>
      </c>
      <c r="K45" s="174">
        <f t="shared" si="84"/>
        <v>0</v>
      </c>
      <c r="L45" s="174">
        <f t="shared" si="84"/>
        <v>0</v>
      </c>
      <c r="M45" s="174">
        <f t="shared" ref="M45" si="85">M43*M44</f>
        <v>0</v>
      </c>
      <c r="N45" s="174">
        <f t="shared" ref="N45" si="86">N43*N44</f>
        <v>0</v>
      </c>
      <c r="O45" s="174">
        <f t="shared" ref="O45" si="87">O43*O44</f>
        <v>0</v>
      </c>
      <c r="P45" s="174">
        <f t="shared" ref="P45" si="88">P43*P44</f>
        <v>0</v>
      </c>
      <c r="Q45" s="174">
        <f t="shared" ref="Q45" si="89">Q43*Q44</f>
        <v>0</v>
      </c>
      <c r="R45" s="174">
        <f t="shared" ref="R45" si="90">R43*R44</f>
        <v>0</v>
      </c>
      <c r="S45" s="163"/>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hidden="1" customHeight="1" outlineLevel="1" x14ac:dyDescent="0.35">
      <c r="A47" s="788" t="s">
        <v>146</v>
      </c>
      <c r="B47" s="789"/>
      <c r="C47" s="176" t="s">
        <v>3</v>
      </c>
      <c r="D47" s="173"/>
      <c r="E47" s="173"/>
      <c r="F47" s="173"/>
      <c r="G47" s="173"/>
      <c r="H47" s="173"/>
      <c r="I47" s="173"/>
      <c r="J47" s="173"/>
      <c r="K47" s="173"/>
      <c r="L47" s="173"/>
      <c r="M47" s="173"/>
      <c r="N47" s="173"/>
      <c r="O47" s="173"/>
      <c r="P47" s="173"/>
      <c r="Q47" s="173"/>
      <c r="R47" s="173"/>
      <c r="S47" s="163"/>
      <c r="T47" s="163"/>
    </row>
    <row r="48" spans="1:20" ht="18.75" hidden="1" customHeight="1" outlineLevel="1" x14ac:dyDescent="0.35">
      <c r="A48" s="788" t="s">
        <v>146</v>
      </c>
      <c r="B48" s="789"/>
      <c r="C48" s="176" t="s">
        <v>3</v>
      </c>
      <c r="D48" s="173"/>
      <c r="E48" s="173"/>
      <c r="F48" s="173"/>
      <c r="G48" s="173"/>
      <c r="H48" s="173"/>
      <c r="I48" s="173"/>
      <c r="J48" s="173"/>
      <c r="K48" s="173"/>
      <c r="L48" s="173"/>
      <c r="M48" s="173"/>
      <c r="N48" s="173"/>
      <c r="O48" s="173"/>
      <c r="P48" s="173"/>
      <c r="Q48" s="173"/>
      <c r="R48" s="173"/>
      <c r="S48" s="163"/>
      <c r="T48" s="163"/>
    </row>
    <row r="49" spans="1:21" ht="18.75" hidden="1" customHeight="1" outlineLevel="1" x14ac:dyDescent="0.35">
      <c r="A49" s="788" t="s">
        <v>146</v>
      </c>
      <c r="B49" s="789"/>
      <c r="C49" s="176" t="s">
        <v>3</v>
      </c>
      <c r="D49" s="173"/>
      <c r="E49" s="173"/>
      <c r="F49" s="173"/>
      <c r="G49" s="173"/>
      <c r="H49" s="173"/>
      <c r="I49" s="173"/>
      <c r="J49" s="173"/>
      <c r="K49" s="173"/>
      <c r="L49" s="173"/>
      <c r="M49" s="173"/>
      <c r="N49" s="173"/>
      <c r="O49" s="173"/>
      <c r="P49" s="173"/>
      <c r="Q49" s="173"/>
      <c r="R49" s="173"/>
      <c r="S49" s="163"/>
      <c r="T49" s="163"/>
    </row>
    <row r="50" spans="1:21" ht="18.75" hidden="1" customHeight="1" outlineLevel="1" x14ac:dyDescent="0.35">
      <c r="A50" s="788" t="s">
        <v>146</v>
      </c>
      <c r="B50" s="789"/>
      <c r="C50" s="176" t="s">
        <v>3</v>
      </c>
      <c r="D50" s="173"/>
      <c r="E50" s="173"/>
      <c r="F50" s="173"/>
      <c r="G50" s="173"/>
      <c r="H50" s="173"/>
      <c r="I50" s="173"/>
      <c r="J50" s="173"/>
      <c r="K50" s="173"/>
      <c r="L50" s="173"/>
      <c r="M50" s="173"/>
      <c r="N50" s="173"/>
      <c r="O50" s="173"/>
      <c r="P50" s="173"/>
      <c r="Q50" s="173"/>
      <c r="R50" s="173"/>
      <c r="S50" s="163"/>
      <c r="T50" s="163"/>
    </row>
    <row r="51" spans="1:21" ht="18.75" hidden="1" customHeight="1" outlineLevel="1" x14ac:dyDescent="0.35">
      <c r="A51" s="788" t="s">
        <v>146</v>
      </c>
      <c r="B51" s="789"/>
      <c r="C51" s="176" t="s">
        <v>3</v>
      </c>
      <c r="D51" s="173"/>
      <c r="E51" s="173"/>
      <c r="F51" s="173"/>
      <c r="G51" s="173"/>
      <c r="H51" s="173"/>
      <c r="I51" s="173"/>
      <c r="J51" s="173"/>
      <c r="K51" s="173"/>
      <c r="L51" s="173"/>
      <c r="M51" s="173"/>
      <c r="N51" s="173"/>
      <c r="O51" s="173"/>
      <c r="P51" s="173"/>
      <c r="Q51" s="173"/>
      <c r="R51" s="173"/>
      <c r="S51" s="163"/>
      <c r="T51" s="163"/>
    </row>
    <row r="52" spans="1:21"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85" customFormat="1" ht="21" customHeight="1" collapsed="1" x14ac:dyDescent="0.35">
      <c r="A53" s="796" t="s">
        <v>8</v>
      </c>
      <c r="B53" s="797"/>
      <c r="C53" s="182" t="s">
        <v>3</v>
      </c>
      <c r="D53" s="183">
        <f t="shared" ref="D53:L53" si="91">D9+D13+D17+D21+D25+D29+D33+D37+D41+D45+D47+D48+D49+D50+D51</f>
        <v>0</v>
      </c>
      <c r="E53" s="183">
        <f t="shared" si="91"/>
        <v>0</v>
      </c>
      <c r="F53" s="183">
        <f t="shared" si="91"/>
        <v>57452.266697273335</v>
      </c>
      <c r="G53" s="183">
        <f t="shared" si="91"/>
        <v>172356.80009182001</v>
      </c>
      <c r="H53" s="183">
        <f t="shared" si="91"/>
        <v>172356.80009182001</v>
      </c>
      <c r="I53" s="183">
        <f t="shared" si="91"/>
        <v>346282.43219383998</v>
      </c>
      <c r="J53" s="183">
        <f t="shared" si="91"/>
        <v>346282.43219383998</v>
      </c>
      <c r="K53" s="183">
        <f t="shared" si="91"/>
        <v>346282.43219383998</v>
      </c>
      <c r="L53" s="183">
        <f t="shared" si="91"/>
        <v>346282.43219383998</v>
      </c>
      <c r="M53" s="183">
        <f t="shared" ref="M53:R53" si="92">M9+M13+M17+M21+M25+M29+M33+M37+M41+M45+M47+M48+M49+M50+M51</f>
        <v>521776.89630606002</v>
      </c>
      <c r="N53" s="183">
        <f t="shared" si="92"/>
        <v>521776.89630606002</v>
      </c>
      <c r="O53" s="183">
        <f t="shared" si="92"/>
        <v>521776.89630606002</v>
      </c>
      <c r="P53" s="183">
        <f t="shared" si="92"/>
        <v>521776.89630606002</v>
      </c>
      <c r="Q53" s="183">
        <f t="shared" si="92"/>
        <v>521776.89630606002</v>
      </c>
      <c r="R53" s="183">
        <f t="shared" si="92"/>
        <v>521776.89630606002</v>
      </c>
      <c r="S53" s="184"/>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14</v>
      </c>
      <c r="B56" s="186"/>
      <c r="C56" s="163"/>
      <c r="D56" s="163">
        <v>2024</v>
      </c>
      <c r="E56" s="163">
        <v>2025</v>
      </c>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ht="18" customHeight="1" x14ac:dyDescent="0.35">
      <c r="A58" s="786" t="s">
        <v>15</v>
      </c>
      <c r="B58" s="171" t="str">
        <f>Kulud25!A26</f>
        <v>Stuudiote turundus- ja kommunikatsioonijuht</v>
      </c>
      <c r="C58" s="172" t="s">
        <v>3</v>
      </c>
      <c r="D58" s="173">
        <f>Kulud25!C26*Kulud25!J26*50%*12</f>
        <v>16632</v>
      </c>
      <c r="E58" s="173">
        <f>Kulud25!C26*Kulud25!J26*12</f>
        <v>33264</v>
      </c>
      <c r="F58" s="173">
        <f>Kulud25!C26*Kulud25!J26*12</f>
        <v>33264</v>
      </c>
      <c r="G58" s="173">
        <f>F58</f>
        <v>33264</v>
      </c>
      <c r="H58" s="173">
        <f>G58</f>
        <v>33264</v>
      </c>
      <c r="I58" s="173">
        <f>Kulud50!C26*Kulud50!J26*12</f>
        <v>33264</v>
      </c>
      <c r="J58" s="173">
        <f>I58</f>
        <v>33264</v>
      </c>
      <c r="K58" s="173">
        <f t="shared" ref="K58:L58" si="93">J58</f>
        <v>33264</v>
      </c>
      <c r="L58" s="173">
        <f t="shared" si="93"/>
        <v>33264</v>
      </c>
      <c r="M58" s="173">
        <f>Kulud75!C26*Kulud75!J26*12</f>
        <v>33264</v>
      </c>
      <c r="N58" s="173">
        <f>M58</f>
        <v>33264</v>
      </c>
      <c r="O58" s="173">
        <f t="shared" ref="O58:R58" si="94">N58</f>
        <v>33264</v>
      </c>
      <c r="P58" s="173">
        <f t="shared" si="94"/>
        <v>33264</v>
      </c>
      <c r="Q58" s="173">
        <f t="shared" si="94"/>
        <v>33264</v>
      </c>
      <c r="R58" s="173">
        <f t="shared" si="94"/>
        <v>33264</v>
      </c>
      <c r="S58" s="188"/>
      <c r="T58" s="188"/>
      <c r="U58" s="189"/>
    </row>
    <row r="59" spans="1:21" x14ac:dyDescent="0.35">
      <c r="A59" s="786"/>
      <c r="B59" s="171" t="str">
        <f>Kulud25!A27</f>
        <v>Filmitööstuse soft landing teenuste juht</v>
      </c>
      <c r="C59" s="172" t="s">
        <v>3</v>
      </c>
      <c r="D59" s="173"/>
      <c r="E59" s="173">
        <f>Kulud25!C27*Kulud25!J27*12</f>
        <v>33264</v>
      </c>
      <c r="F59" s="173">
        <f>Kulud25!C27*Kulud25!J27*12</f>
        <v>33264</v>
      </c>
      <c r="G59" s="173">
        <f t="shared" ref="G59:H60" si="95">F59</f>
        <v>33264</v>
      </c>
      <c r="H59" s="173">
        <f t="shared" si="95"/>
        <v>33264</v>
      </c>
      <c r="I59" s="173">
        <f>Kulud50!C27*Kulud50!J27*12</f>
        <v>33264</v>
      </c>
      <c r="J59" s="173">
        <f>I59</f>
        <v>33264</v>
      </c>
      <c r="K59" s="173">
        <f t="shared" ref="K59:L59" si="96">J59</f>
        <v>33264</v>
      </c>
      <c r="L59" s="173">
        <f t="shared" si="96"/>
        <v>33264</v>
      </c>
      <c r="M59" s="173">
        <f>Kulud75!C27*Kulud75!J27*12</f>
        <v>33264</v>
      </c>
      <c r="N59" s="173">
        <f>M59</f>
        <v>33264</v>
      </c>
      <c r="O59" s="173">
        <f t="shared" ref="O59:R59" si="97">N59</f>
        <v>33264</v>
      </c>
      <c r="P59" s="173">
        <f t="shared" si="97"/>
        <v>33264</v>
      </c>
      <c r="Q59" s="173">
        <f t="shared" si="97"/>
        <v>33264</v>
      </c>
      <c r="R59" s="173">
        <f t="shared" si="97"/>
        <v>33264</v>
      </c>
      <c r="S59" s="188"/>
      <c r="T59" s="188"/>
      <c r="U59" s="189"/>
    </row>
    <row r="60" spans="1:21" ht="16.5" hidden="1" customHeight="1" x14ac:dyDescent="0.35">
      <c r="A60" s="786"/>
      <c r="B60" s="171">
        <f>Kulud25!A28</f>
        <v>0</v>
      </c>
      <c r="C60" s="172" t="s">
        <v>3</v>
      </c>
      <c r="D60" s="173"/>
      <c r="E60" s="173"/>
      <c r="F60" s="173">
        <f>Kulud25!C28*Kulud25!J28*12</f>
        <v>0</v>
      </c>
      <c r="G60" s="173">
        <f t="shared" si="95"/>
        <v>0</v>
      </c>
      <c r="H60" s="173">
        <f t="shared" si="95"/>
        <v>0</v>
      </c>
      <c r="I60" s="173">
        <f>Kulud50!C28*Kulud50!J28*12</f>
        <v>0</v>
      </c>
      <c r="J60" s="173">
        <f>I60</f>
        <v>0</v>
      </c>
      <c r="K60" s="173">
        <f t="shared" ref="K60:L60" si="98">J60</f>
        <v>0</v>
      </c>
      <c r="L60" s="173">
        <f t="shared" si="98"/>
        <v>0</v>
      </c>
      <c r="M60" s="173">
        <f>Kulud75!C28*Kulud75!J28*12</f>
        <v>0</v>
      </c>
      <c r="N60" s="173">
        <f>M60</f>
        <v>0</v>
      </c>
      <c r="O60" s="173">
        <f t="shared" ref="O60:R60" si="99">N60</f>
        <v>0</v>
      </c>
      <c r="P60" s="173">
        <f t="shared" si="99"/>
        <v>0</v>
      </c>
      <c r="Q60" s="173">
        <f t="shared" si="99"/>
        <v>0</v>
      </c>
      <c r="R60" s="173">
        <f t="shared" si="99"/>
        <v>0</v>
      </c>
      <c r="S60" s="188"/>
      <c r="T60" s="188"/>
      <c r="U60" s="189"/>
    </row>
    <row r="61" spans="1:21" hidden="1" outlineLevel="1" x14ac:dyDescent="0.35">
      <c r="A61" s="786"/>
      <c r="B61" s="171" t="s">
        <v>16</v>
      </c>
      <c r="C61" s="172" t="s">
        <v>3</v>
      </c>
      <c r="D61" s="173"/>
      <c r="E61" s="173"/>
      <c r="F61" s="173"/>
      <c r="G61" s="173"/>
      <c r="H61" s="173"/>
      <c r="I61" s="173"/>
      <c r="J61" s="173"/>
      <c r="K61" s="173"/>
      <c r="L61" s="173"/>
      <c r="M61" s="173"/>
      <c r="N61" s="173"/>
      <c r="O61" s="173"/>
      <c r="P61" s="173"/>
      <c r="Q61" s="173"/>
      <c r="R61" s="173"/>
      <c r="S61" s="188"/>
      <c r="T61" s="188"/>
      <c r="U61" s="189"/>
    </row>
    <row r="62" spans="1:21" hidden="1" outlineLevel="1" x14ac:dyDescent="0.35">
      <c r="A62" s="786"/>
      <c r="B62" s="171" t="s">
        <v>17</v>
      </c>
      <c r="C62" s="172" t="s">
        <v>3</v>
      </c>
      <c r="D62" s="173"/>
      <c r="E62" s="173"/>
      <c r="F62" s="173"/>
      <c r="G62" s="173"/>
      <c r="H62" s="173"/>
      <c r="I62" s="173"/>
      <c r="J62" s="173"/>
      <c r="K62" s="173"/>
      <c r="L62" s="173"/>
      <c r="M62" s="173"/>
      <c r="N62" s="173"/>
      <c r="O62" s="173"/>
      <c r="P62" s="173"/>
      <c r="Q62" s="173"/>
      <c r="R62" s="173"/>
      <c r="S62" s="188"/>
      <c r="T62" s="188"/>
      <c r="U62" s="189"/>
    </row>
    <row r="63" spans="1:21" hidden="1" outlineLevel="1" x14ac:dyDescent="0.35">
      <c r="A63" s="786"/>
      <c r="B63" s="171" t="s">
        <v>18</v>
      </c>
      <c r="C63" s="172" t="s">
        <v>3</v>
      </c>
      <c r="D63" s="173"/>
      <c r="E63" s="173"/>
      <c r="F63" s="173"/>
      <c r="G63" s="173"/>
      <c r="H63" s="173"/>
      <c r="I63" s="173"/>
      <c r="J63" s="173"/>
      <c r="K63" s="173"/>
      <c r="L63" s="173"/>
      <c r="M63" s="173"/>
      <c r="N63" s="173"/>
      <c r="O63" s="173"/>
      <c r="P63" s="173"/>
      <c r="Q63" s="173"/>
      <c r="R63" s="173"/>
      <c r="S63" s="188"/>
      <c r="T63" s="188"/>
      <c r="U63" s="189"/>
    </row>
    <row r="64" spans="1:21" hidden="1" outlineLevel="1" x14ac:dyDescent="0.35">
      <c r="A64" s="786"/>
      <c r="B64" s="171" t="s">
        <v>19</v>
      </c>
      <c r="C64" s="172" t="s">
        <v>3</v>
      </c>
      <c r="D64" s="173"/>
      <c r="E64" s="173"/>
      <c r="F64" s="173"/>
      <c r="G64" s="173"/>
      <c r="H64" s="173"/>
      <c r="I64" s="173"/>
      <c r="J64" s="173"/>
      <c r="K64" s="173"/>
      <c r="L64" s="173"/>
      <c r="M64" s="173"/>
      <c r="N64" s="173"/>
      <c r="O64" s="173"/>
      <c r="P64" s="173"/>
      <c r="Q64" s="173"/>
      <c r="R64" s="173"/>
      <c r="S64" s="188"/>
      <c r="T64" s="188"/>
      <c r="U64" s="189"/>
    </row>
    <row r="65" spans="1:21" hidden="1" outlineLevel="1" x14ac:dyDescent="0.35">
      <c r="A65" s="786"/>
      <c r="B65" s="171" t="s">
        <v>20</v>
      </c>
      <c r="C65" s="172" t="s">
        <v>3</v>
      </c>
      <c r="D65" s="173"/>
      <c r="E65" s="173"/>
      <c r="F65" s="173"/>
      <c r="G65" s="173"/>
      <c r="H65" s="173"/>
      <c r="I65" s="173"/>
      <c r="J65" s="173"/>
      <c r="K65" s="173"/>
      <c r="L65" s="173"/>
      <c r="M65" s="173"/>
      <c r="N65" s="173"/>
      <c r="O65" s="173"/>
      <c r="P65" s="173"/>
      <c r="Q65" s="173"/>
      <c r="R65" s="173"/>
      <c r="S65" s="188"/>
      <c r="T65" s="188"/>
      <c r="U65" s="189"/>
    </row>
    <row r="66" spans="1:21" hidden="1" outlineLevel="1" x14ac:dyDescent="0.35">
      <c r="A66" s="786"/>
      <c r="B66" s="171" t="s">
        <v>21</v>
      </c>
      <c r="C66" s="172" t="s">
        <v>3</v>
      </c>
      <c r="D66" s="173"/>
      <c r="E66" s="173"/>
      <c r="F66" s="173"/>
      <c r="G66" s="173"/>
      <c r="H66" s="173"/>
      <c r="I66" s="173"/>
      <c r="J66" s="173"/>
      <c r="K66" s="173"/>
      <c r="L66" s="173"/>
      <c r="M66" s="173"/>
      <c r="N66" s="173"/>
      <c r="O66" s="173"/>
      <c r="P66" s="173"/>
      <c r="Q66" s="173"/>
      <c r="R66" s="173"/>
      <c r="S66" s="188"/>
      <c r="T66" s="188"/>
      <c r="U66" s="189"/>
    </row>
    <row r="67" spans="1:21" hidden="1" outlineLevel="1" x14ac:dyDescent="0.35">
      <c r="A67" s="786"/>
      <c r="B67" s="171" t="s">
        <v>22</v>
      </c>
      <c r="C67" s="172"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786"/>
      <c r="B68" s="171" t="s">
        <v>43</v>
      </c>
      <c r="C68" s="172"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786"/>
      <c r="B69" s="171" t="s">
        <v>44</v>
      </c>
      <c r="C69" s="172"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786"/>
      <c r="B70" s="171" t="s">
        <v>45</v>
      </c>
      <c r="C70" s="172"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786"/>
      <c r="B71" s="171" t="s">
        <v>46</v>
      </c>
      <c r="C71" s="172"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786"/>
      <c r="B72" s="171" t="s">
        <v>47</v>
      </c>
      <c r="C72" s="172"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786"/>
      <c r="B73" s="171" t="s">
        <v>48</v>
      </c>
      <c r="C73" s="172"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786"/>
      <c r="B74" s="171" t="s">
        <v>49</v>
      </c>
      <c r="C74" s="172"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786"/>
      <c r="B75" s="171" t="s">
        <v>50</v>
      </c>
      <c r="C75" s="172"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786"/>
      <c r="B76" s="171" t="s">
        <v>51</v>
      </c>
      <c r="C76" s="172"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786"/>
      <c r="B77" s="171" t="s">
        <v>52</v>
      </c>
      <c r="C77" s="172"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786"/>
      <c r="B78" s="171" t="s">
        <v>24</v>
      </c>
      <c r="C78" s="172" t="s">
        <v>3</v>
      </c>
      <c r="D78" s="190">
        <f>SUM(D58:D77)</f>
        <v>16632</v>
      </c>
      <c r="E78" s="190">
        <f t="shared" ref="E78:M78" si="100">SUM(E58:E77)</f>
        <v>66528</v>
      </c>
      <c r="F78" s="190">
        <f t="shared" si="100"/>
        <v>66528</v>
      </c>
      <c r="G78" s="190">
        <f t="shared" si="100"/>
        <v>66528</v>
      </c>
      <c r="H78" s="190">
        <f t="shared" si="100"/>
        <v>66528</v>
      </c>
      <c r="I78" s="190">
        <f t="shared" si="100"/>
        <v>66528</v>
      </c>
      <c r="J78" s="190">
        <f t="shared" si="100"/>
        <v>66528</v>
      </c>
      <c r="K78" s="190">
        <f t="shared" si="100"/>
        <v>66528</v>
      </c>
      <c r="L78" s="190">
        <f t="shared" si="100"/>
        <v>66528</v>
      </c>
      <c r="M78" s="190">
        <f t="shared" si="100"/>
        <v>66528</v>
      </c>
      <c r="N78" s="190">
        <f t="shared" ref="N78:R78" si="101">SUM(N58:N77)</f>
        <v>66528</v>
      </c>
      <c r="O78" s="190">
        <f t="shared" si="101"/>
        <v>66528</v>
      </c>
      <c r="P78" s="190">
        <f t="shared" si="101"/>
        <v>66528</v>
      </c>
      <c r="Q78" s="190">
        <f t="shared" si="101"/>
        <v>66528</v>
      </c>
      <c r="R78" s="190">
        <f t="shared" si="101"/>
        <v>66528</v>
      </c>
      <c r="S78" s="188"/>
      <c r="T78" s="188"/>
      <c r="U78" s="189"/>
    </row>
    <row r="79" spans="1:21" x14ac:dyDescent="0.35">
      <c r="A79" s="786"/>
      <c r="B79" s="171" t="s">
        <v>23</v>
      </c>
      <c r="C79" s="191"/>
      <c r="D79" s="190">
        <f>D78*Maksumäärad!B5</f>
        <v>5621.616</v>
      </c>
      <c r="E79" s="190">
        <f>E78*Maksumäärad!C5</f>
        <v>22486.464</v>
      </c>
      <c r="F79" s="190">
        <f>F78*Maksumäärad!D5</f>
        <v>22486.464</v>
      </c>
      <c r="G79" s="190">
        <f>G78*Maksumäärad!E5</f>
        <v>22486.464</v>
      </c>
      <c r="H79" s="190">
        <f>H78*Maksumäärad!F5</f>
        <v>22486.464</v>
      </c>
      <c r="I79" s="190">
        <f>I78*Maksumäärad!G5</f>
        <v>22486.464</v>
      </c>
      <c r="J79" s="190">
        <f>J78*Maksumäärad!H5</f>
        <v>22486.464</v>
      </c>
      <c r="K79" s="190">
        <f>K78*Maksumäärad!I5</f>
        <v>22486.464</v>
      </c>
      <c r="L79" s="190">
        <f>L78*Maksumäärad!J5</f>
        <v>22486.464</v>
      </c>
      <c r="M79" s="190">
        <f>M78*Maksumäärad!K5</f>
        <v>22486.464</v>
      </c>
      <c r="N79" s="190">
        <f>N78*Maksumäärad!L5</f>
        <v>22486.464</v>
      </c>
      <c r="O79" s="190">
        <f>O78*Maksumäärad!M5</f>
        <v>22486.464</v>
      </c>
      <c r="P79" s="190">
        <f>P78*Maksumäärad!N5</f>
        <v>22486.464</v>
      </c>
      <c r="Q79" s="190">
        <f>Q78*Maksumäärad!O5</f>
        <v>22486.464</v>
      </c>
      <c r="R79" s="190">
        <f>R78*Maksumäärad!P5</f>
        <v>22486.464</v>
      </c>
      <c r="S79" s="188"/>
      <c r="T79" s="188"/>
      <c r="U79" s="189"/>
    </row>
    <row r="80" spans="1:21" x14ac:dyDescent="0.35">
      <c r="A80" s="791" t="s">
        <v>25</v>
      </c>
      <c r="B80" s="792"/>
      <c r="C80" s="192"/>
      <c r="D80" s="193">
        <f t="shared" ref="D80:M80" si="102">SUM(D78:D79)</f>
        <v>22253.616000000002</v>
      </c>
      <c r="E80" s="193">
        <f t="shared" si="102"/>
        <v>89014.464000000007</v>
      </c>
      <c r="F80" s="193">
        <f t="shared" si="102"/>
        <v>89014.464000000007</v>
      </c>
      <c r="G80" s="193">
        <f t="shared" si="102"/>
        <v>89014.464000000007</v>
      </c>
      <c r="H80" s="193">
        <f t="shared" si="102"/>
        <v>89014.464000000007</v>
      </c>
      <c r="I80" s="193">
        <f t="shared" si="102"/>
        <v>89014.464000000007</v>
      </c>
      <c r="J80" s="193">
        <f t="shared" si="102"/>
        <v>89014.464000000007</v>
      </c>
      <c r="K80" s="193">
        <f t="shared" si="102"/>
        <v>89014.464000000007</v>
      </c>
      <c r="L80" s="193">
        <f t="shared" si="102"/>
        <v>89014.464000000007</v>
      </c>
      <c r="M80" s="193">
        <f t="shared" si="102"/>
        <v>89014.464000000007</v>
      </c>
      <c r="N80" s="193">
        <f t="shared" ref="N80:R80" si="103">SUM(N78:N79)</f>
        <v>89014.464000000007</v>
      </c>
      <c r="O80" s="193">
        <f t="shared" si="103"/>
        <v>89014.464000000007</v>
      </c>
      <c r="P80" s="193">
        <f t="shared" si="103"/>
        <v>89014.464000000007</v>
      </c>
      <c r="Q80" s="193">
        <f t="shared" si="103"/>
        <v>89014.464000000007</v>
      </c>
      <c r="R80" s="193">
        <f t="shared" si="103"/>
        <v>89014.464000000007</v>
      </c>
      <c r="S80" s="188"/>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1" x14ac:dyDescent="0.35">
      <c r="A82" s="786" t="s">
        <v>26</v>
      </c>
      <c r="B82" s="171" t="str">
        <f>Kulud25!A5</f>
        <v>Küte</v>
      </c>
      <c r="C82" s="172" t="s">
        <v>3</v>
      </c>
      <c r="D82" s="173"/>
      <c r="E82" s="173"/>
      <c r="F82" s="173">
        <f>Kulud25!E5/2</f>
        <v>32493.173173439995</v>
      </c>
      <c r="G82" s="173">
        <f>Kulud25!E5</f>
        <v>64986.346346879989</v>
      </c>
      <c r="H82" s="173">
        <f t="shared" ref="H82:R82" si="104">G82</f>
        <v>64986.346346879989</v>
      </c>
      <c r="I82" s="173">
        <f>Kulud50!E5</f>
        <v>64986.346346880004</v>
      </c>
      <c r="J82" s="173">
        <f t="shared" si="104"/>
        <v>64986.346346880004</v>
      </c>
      <c r="K82" s="173">
        <f t="shared" si="104"/>
        <v>64986.346346880004</v>
      </c>
      <c r="L82" s="173">
        <f t="shared" si="104"/>
        <v>64986.346346880004</v>
      </c>
      <c r="M82" s="173">
        <f>Kulud75!E5</f>
        <v>64986.346346879989</v>
      </c>
      <c r="N82" s="173">
        <f t="shared" si="104"/>
        <v>64986.346346879989</v>
      </c>
      <c r="O82" s="173">
        <f t="shared" si="104"/>
        <v>64986.346346879989</v>
      </c>
      <c r="P82" s="173">
        <f t="shared" si="104"/>
        <v>64986.346346879989</v>
      </c>
      <c r="Q82" s="173">
        <f t="shared" si="104"/>
        <v>64986.346346879989</v>
      </c>
      <c r="R82" s="173">
        <f t="shared" si="104"/>
        <v>64986.346346879989</v>
      </c>
      <c r="S82" s="188"/>
      <c r="T82" s="188"/>
      <c r="U82" s="189"/>
    </row>
    <row r="83" spans="1:21" x14ac:dyDescent="0.35">
      <c r="A83" s="786"/>
      <c r="B83" s="171" t="str">
        <f>Kulud25!A14</f>
        <v>Elekter</v>
      </c>
      <c r="C83" s="172" t="s">
        <v>3</v>
      </c>
      <c r="D83" s="173"/>
      <c r="E83" s="173"/>
      <c r="F83" s="173">
        <f>Kulud25!E14*4/12</f>
        <v>2177.9658333333341</v>
      </c>
      <c r="G83" s="173">
        <f>Kulud25!E14</f>
        <v>6533.8975000000019</v>
      </c>
      <c r="H83" s="173">
        <f t="shared" ref="H83:R83" si="105">G83</f>
        <v>6533.8975000000019</v>
      </c>
      <c r="I83" s="173">
        <f>Kulud50!E14</f>
        <v>13067.795000000004</v>
      </c>
      <c r="J83" s="173">
        <f t="shared" si="105"/>
        <v>13067.795000000004</v>
      </c>
      <c r="K83" s="173">
        <f t="shared" si="105"/>
        <v>13067.795000000004</v>
      </c>
      <c r="L83" s="173">
        <f t="shared" si="105"/>
        <v>13067.795000000004</v>
      </c>
      <c r="M83" s="173">
        <f>Kulud75!E14</f>
        <v>19601.692500000008</v>
      </c>
      <c r="N83" s="173">
        <f t="shared" si="105"/>
        <v>19601.692500000008</v>
      </c>
      <c r="O83" s="173">
        <f t="shared" si="105"/>
        <v>19601.692500000008</v>
      </c>
      <c r="P83" s="173">
        <f t="shared" si="105"/>
        <v>19601.692500000008</v>
      </c>
      <c r="Q83" s="173">
        <f t="shared" si="105"/>
        <v>19601.692500000008</v>
      </c>
      <c r="R83" s="173">
        <f t="shared" si="105"/>
        <v>19601.692500000008</v>
      </c>
      <c r="S83" s="188"/>
      <c r="T83" s="188"/>
      <c r="U83" s="189"/>
    </row>
    <row r="84" spans="1:21" x14ac:dyDescent="0.35">
      <c r="A84" s="786"/>
      <c r="B84" s="171" t="str">
        <f>Kulud25!A20</f>
        <v>Vesi ja kanalisatsioon</v>
      </c>
      <c r="C84" s="172" t="s">
        <v>3</v>
      </c>
      <c r="D84" s="173"/>
      <c r="E84" s="173"/>
      <c r="F84" s="173">
        <f>Kulud25!E20*4/12</f>
        <v>1045.8880068000005</v>
      </c>
      <c r="G84" s="173">
        <f>Kulud25!E20</f>
        <v>3137.6640204000014</v>
      </c>
      <c r="H84" s="173">
        <f t="shared" ref="H84:R87" si="106">G84</f>
        <v>3137.6640204000014</v>
      </c>
      <c r="I84" s="173">
        <f>Kulud50!E20</f>
        <v>6275.3280408000028</v>
      </c>
      <c r="J84" s="173">
        <f t="shared" si="106"/>
        <v>6275.3280408000028</v>
      </c>
      <c r="K84" s="173">
        <f t="shared" si="106"/>
        <v>6275.3280408000028</v>
      </c>
      <c r="L84" s="173">
        <f t="shared" si="106"/>
        <v>6275.3280408000028</v>
      </c>
      <c r="M84" s="173">
        <f>Kulud75!E20</f>
        <v>9412.9920612000024</v>
      </c>
      <c r="N84" s="173">
        <f t="shared" si="106"/>
        <v>9412.9920612000024</v>
      </c>
      <c r="O84" s="173">
        <f t="shared" si="106"/>
        <v>9412.9920612000024</v>
      </c>
      <c r="P84" s="173">
        <f t="shared" si="106"/>
        <v>9412.9920612000024</v>
      </c>
      <c r="Q84" s="173">
        <f t="shared" si="106"/>
        <v>9412.9920612000024</v>
      </c>
      <c r="R84" s="173">
        <f t="shared" si="106"/>
        <v>9412.9920612000024</v>
      </c>
      <c r="S84" s="188"/>
      <c r="T84" s="188"/>
      <c r="U84" s="189"/>
    </row>
    <row r="85" spans="1:21" x14ac:dyDescent="0.35">
      <c r="A85" s="786"/>
      <c r="B85" s="171" t="str">
        <f>Kulud25!A31</f>
        <v>Tehnohooldus</v>
      </c>
      <c r="C85" s="172" t="s">
        <v>3</v>
      </c>
      <c r="D85" s="173"/>
      <c r="E85" s="173"/>
      <c r="F85" s="173">
        <f>Kulud25!E31*4/12</f>
        <v>7000</v>
      </c>
      <c r="G85" s="173">
        <f>Kulud25!E31</f>
        <v>21000</v>
      </c>
      <c r="H85" s="173">
        <f t="shared" si="106"/>
        <v>21000</v>
      </c>
      <c r="I85" s="173">
        <f>Kulud50!E31</f>
        <v>21000</v>
      </c>
      <c r="J85" s="173">
        <f t="shared" si="106"/>
        <v>21000</v>
      </c>
      <c r="K85" s="173">
        <f t="shared" si="106"/>
        <v>21000</v>
      </c>
      <c r="L85" s="173">
        <f t="shared" si="106"/>
        <v>21000</v>
      </c>
      <c r="M85" s="173">
        <f>Kulud75!E31</f>
        <v>21000</v>
      </c>
      <c r="N85" s="173">
        <f t="shared" si="106"/>
        <v>21000</v>
      </c>
      <c r="O85" s="173">
        <f t="shared" si="106"/>
        <v>21000</v>
      </c>
      <c r="P85" s="173">
        <f t="shared" si="106"/>
        <v>21000</v>
      </c>
      <c r="Q85" s="173">
        <f t="shared" si="106"/>
        <v>21000</v>
      </c>
      <c r="R85" s="173">
        <f t="shared" si="106"/>
        <v>21000</v>
      </c>
      <c r="S85" s="188"/>
      <c r="T85" s="188"/>
      <c r="U85" s="189"/>
    </row>
    <row r="86" spans="1:21" x14ac:dyDescent="0.35">
      <c r="A86" s="786"/>
      <c r="B86" s="171" t="str">
        <f>Kulud25!A43</f>
        <v>Hooldus (hooned)</v>
      </c>
      <c r="C86" s="172" t="s">
        <v>3</v>
      </c>
      <c r="D86" s="173"/>
      <c r="E86" s="173"/>
      <c r="F86" s="173">
        <f>Kulud25!E43*4/12</f>
        <v>11000</v>
      </c>
      <c r="G86" s="173">
        <f>Kulud25!E43</f>
        <v>33000</v>
      </c>
      <c r="H86" s="173">
        <f t="shared" si="106"/>
        <v>33000</v>
      </c>
      <c r="I86" s="173">
        <f>Kulud50!E43</f>
        <v>33000</v>
      </c>
      <c r="J86" s="173">
        <f t="shared" si="106"/>
        <v>33000</v>
      </c>
      <c r="K86" s="173">
        <f t="shared" si="106"/>
        <v>33000</v>
      </c>
      <c r="L86" s="173">
        <f t="shared" si="106"/>
        <v>33000</v>
      </c>
      <c r="M86" s="173">
        <f>Kulud75!E43</f>
        <v>33000</v>
      </c>
      <c r="N86" s="173">
        <f t="shared" si="106"/>
        <v>33000</v>
      </c>
      <c r="O86" s="173">
        <f t="shared" si="106"/>
        <v>33000</v>
      </c>
      <c r="P86" s="173">
        <f t="shared" si="106"/>
        <v>33000</v>
      </c>
      <c r="Q86" s="173">
        <f t="shared" si="106"/>
        <v>33000</v>
      </c>
      <c r="R86" s="173">
        <f t="shared" si="106"/>
        <v>33000</v>
      </c>
      <c r="S86" s="188"/>
      <c r="T86" s="188"/>
      <c r="U86" s="189"/>
    </row>
    <row r="87" spans="1:21" x14ac:dyDescent="0.35">
      <c r="A87" s="786"/>
      <c r="B87" s="171" t="str">
        <f>Kulud25!A48</f>
        <v>Hooldus (territoorium)</v>
      </c>
      <c r="C87" s="172" t="s">
        <v>3</v>
      </c>
      <c r="D87" s="173"/>
      <c r="E87" s="173"/>
      <c r="F87" s="173">
        <f>Kulud25!E48*4/12</f>
        <v>7478</v>
      </c>
      <c r="G87" s="173">
        <f>Kulud25!E48</f>
        <v>22434</v>
      </c>
      <c r="H87" s="173">
        <f t="shared" si="106"/>
        <v>22434</v>
      </c>
      <c r="I87" s="173">
        <f>Kulud50!E48</f>
        <v>22434</v>
      </c>
      <c r="J87" s="173">
        <f t="shared" si="106"/>
        <v>22434</v>
      </c>
      <c r="K87" s="173">
        <f t="shared" si="106"/>
        <v>22434</v>
      </c>
      <c r="L87" s="173">
        <f t="shared" si="106"/>
        <v>22434</v>
      </c>
      <c r="M87" s="173">
        <f>Kulud75!E48</f>
        <v>22434</v>
      </c>
      <c r="N87" s="173">
        <f t="shared" si="106"/>
        <v>22434</v>
      </c>
      <c r="O87" s="173">
        <f t="shared" si="106"/>
        <v>22434</v>
      </c>
      <c r="P87" s="173">
        <f t="shared" si="106"/>
        <v>22434</v>
      </c>
      <c r="Q87" s="173">
        <f t="shared" si="106"/>
        <v>22434</v>
      </c>
      <c r="R87" s="173">
        <f t="shared" si="106"/>
        <v>22434</v>
      </c>
      <c r="S87" s="188"/>
      <c r="T87" s="188"/>
      <c r="U87" s="189"/>
    </row>
    <row r="88" spans="1:21" hidden="1" x14ac:dyDescent="0.35">
      <c r="A88" s="786"/>
      <c r="B88" s="171" t="s">
        <v>53</v>
      </c>
      <c r="C88" s="172" t="s">
        <v>3</v>
      </c>
      <c r="D88" s="173"/>
      <c r="E88" s="173"/>
      <c r="F88" s="173"/>
      <c r="G88" s="173"/>
      <c r="H88" s="173"/>
      <c r="I88" s="173"/>
      <c r="J88" s="173"/>
      <c r="K88" s="173"/>
      <c r="L88" s="173"/>
      <c r="M88" s="173"/>
      <c r="N88" s="173"/>
      <c r="O88" s="173"/>
      <c r="P88" s="173"/>
      <c r="Q88" s="173"/>
      <c r="R88" s="173"/>
      <c r="S88" s="188"/>
      <c r="T88" s="188"/>
      <c r="U88" s="189"/>
    </row>
    <row r="89" spans="1:21" hidden="1" x14ac:dyDescent="0.35">
      <c r="A89" s="786"/>
      <c r="B89" s="171" t="s">
        <v>54</v>
      </c>
      <c r="C89" s="172" t="s">
        <v>3</v>
      </c>
      <c r="D89" s="173"/>
      <c r="E89" s="173"/>
      <c r="F89" s="173"/>
      <c r="G89" s="173"/>
      <c r="H89" s="173"/>
      <c r="I89" s="173"/>
      <c r="J89" s="173"/>
      <c r="K89" s="173"/>
      <c r="L89" s="173"/>
      <c r="M89" s="173"/>
      <c r="N89" s="173"/>
      <c r="O89" s="173"/>
      <c r="P89" s="173"/>
      <c r="Q89" s="173"/>
      <c r="R89" s="173"/>
      <c r="S89" s="188"/>
      <c r="T89" s="188"/>
      <c r="U89" s="189"/>
    </row>
    <row r="90" spans="1:21" hidden="1" x14ac:dyDescent="0.35">
      <c r="A90" s="786"/>
      <c r="B90" s="171" t="s">
        <v>55</v>
      </c>
      <c r="C90" s="172" t="s">
        <v>3</v>
      </c>
      <c r="D90" s="173"/>
      <c r="E90" s="173"/>
      <c r="F90" s="173"/>
      <c r="G90" s="173"/>
      <c r="H90" s="173"/>
      <c r="I90" s="173"/>
      <c r="J90" s="173"/>
      <c r="K90" s="173"/>
      <c r="L90" s="173"/>
      <c r="M90" s="173"/>
      <c r="N90" s="173"/>
      <c r="O90" s="173"/>
      <c r="P90" s="173"/>
      <c r="Q90" s="173"/>
      <c r="R90" s="173"/>
      <c r="S90" s="188"/>
      <c r="T90" s="188"/>
      <c r="U90" s="189"/>
    </row>
    <row r="91" spans="1:21" hidden="1" x14ac:dyDescent="0.35">
      <c r="A91" s="786"/>
      <c r="B91" s="171" t="s">
        <v>56</v>
      </c>
      <c r="C91" s="172" t="s">
        <v>3</v>
      </c>
      <c r="D91" s="173"/>
      <c r="E91" s="173"/>
      <c r="F91" s="173"/>
      <c r="G91" s="173"/>
      <c r="H91" s="173"/>
      <c r="I91" s="173"/>
      <c r="J91" s="173"/>
      <c r="K91" s="173"/>
      <c r="L91" s="173"/>
      <c r="M91" s="173"/>
      <c r="N91" s="173"/>
      <c r="O91" s="173"/>
      <c r="P91" s="173"/>
      <c r="Q91" s="173"/>
      <c r="R91" s="173"/>
      <c r="S91" s="188"/>
      <c r="T91" s="188"/>
      <c r="U91" s="189"/>
    </row>
    <row r="92" spans="1:21" x14ac:dyDescent="0.35">
      <c r="A92" s="791" t="s">
        <v>27</v>
      </c>
      <c r="B92" s="792"/>
      <c r="C92" s="192"/>
      <c r="D92" s="193">
        <f t="shared" ref="D92:R92" si="107">SUM(D82:D91)</f>
        <v>0</v>
      </c>
      <c r="E92" s="193">
        <f t="shared" si="107"/>
        <v>0</v>
      </c>
      <c r="F92" s="193">
        <f t="shared" si="107"/>
        <v>61195.02701357333</v>
      </c>
      <c r="G92" s="193">
        <f t="shared" si="107"/>
        <v>151091.90786728001</v>
      </c>
      <c r="H92" s="193">
        <f t="shared" si="107"/>
        <v>151091.90786728001</v>
      </c>
      <c r="I92" s="193">
        <f t="shared" si="107"/>
        <v>160763.46938768</v>
      </c>
      <c r="J92" s="193">
        <f t="shared" si="107"/>
        <v>160763.46938768</v>
      </c>
      <c r="K92" s="193">
        <f t="shared" si="107"/>
        <v>160763.46938768</v>
      </c>
      <c r="L92" s="193">
        <f t="shared" si="107"/>
        <v>160763.46938768</v>
      </c>
      <c r="M92" s="193">
        <f t="shared" si="107"/>
        <v>170435.03090807999</v>
      </c>
      <c r="N92" s="193">
        <f t="shared" si="107"/>
        <v>170435.03090807999</v>
      </c>
      <c r="O92" s="193">
        <f t="shared" si="107"/>
        <v>170435.03090807999</v>
      </c>
      <c r="P92" s="193">
        <f t="shared" si="107"/>
        <v>170435.03090807999</v>
      </c>
      <c r="Q92" s="193">
        <f t="shared" si="107"/>
        <v>170435.03090807999</v>
      </c>
      <c r="R92" s="193">
        <f t="shared" si="107"/>
        <v>170435.03090807999</v>
      </c>
      <c r="S92" s="188"/>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1" x14ac:dyDescent="0.35">
      <c r="A94" s="793" t="s">
        <v>28</v>
      </c>
      <c r="B94" s="630" t="str">
        <f>Kulud25!A36</f>
        <v>Turundus</v>
      </c>
      <c r="C94" s="172" t="s">
        <v>3</v>
      </c>
      <c r="D94" s="173"/>
      <c r="E94" s="173"/>
      <c r="F94" s="173">
        <f>Kulud25!E36*4/12</f>
        <v>18333.333333333332</v>
      </c>
      <c r="G94" s="173">
        <f>Kulud25!E36</f>
        <v>55000</v>
      </c>
      <c r="H94" s="173">
        <f t="shared" ref="H94:R94" si="108">G94</f>
        <v>55000</v>
      </c>
      <c r="I94" s="173">
        <f>Kulud50!E36</f>
        <v>55000</v>
      </c>
      <c r="J94" s="173">
        <f t="shared" si="108"/>
        <v>55000</v>
      </c>
      <c r="K94" s="173">
        <f t="shared" si="108"/>
        <v>55000</v>
      </c>
      <c r="L94" s="173">
        <f t="shared" si="108"/>
        <v>55000</v>
      </c>
      <c r="M94" s="173">
        <f>Kulud75!E36</f>
        <v>55000</v>
      </c>
      <c r="N94" s="173">
        <f t="shared" si="108"/>
        <v>55000</v>
      </c>
      <c r="O94" s="173">
        <f t="shared" si="108"/>
        <v>55000</v>
      </c>
      <c r="P94" s="173">
        <f t="shared" si="108"/>
        <v>55000</v>
      </c>
      <c r="Q94" s="173">
        <f t="shared" si="108"/>
        <v>55000</v>
      </c>
      <c r="R94" s="173">
        <f t="shared" si="108"/>
        <v>55000</v>
      </c>
      <c r="S94" s="188"/>
      <c r="T94" s="188"/>
      <c r="U94" s="189"/>
    </row>
    <row r="95" spans="1:21" hidden="1" x14ac:dyDescent="0.35">
      <c r="A95" s="794"/>
      <c r="B95" s="171">
        <f>Kulud25!A38</f>
        <v>0</v>
      </c>
      <c r="C95" s="172" t="s">
        <v>3</v>
      </c>
      <c r="D95" s="173">
        <f>Kulud25!E38</f>
        <v>0</v>
      </c>
      <c r="E95" s="173">
        <f>D95</f>
        <v>0</v>
      </c>
      <c r="F95" s="173">
        <f t="shared" ref="F95:R95" si="109">E95</f>
        <v>0</v>
      </c>
      <c r="G95" s="173">
        <f t="shared" si="109"/>
        <v>0</v>
      </c>
      <c r="H95" s="173">
        <f t="shared" si="109"/>
        <v>0</v>
      </c>
      <c r="I95" s="173">
        <f t="shared" si="109"/>
        <v>0</v>
      </c>
      <c r="J95" s="173">
        <f t="shared" si="109"/>
        <v>0</v>
      </c>
      <c r="K95" s="173">
        <f t="shared" si="109"/>
        <v>0</v>
      </c>
      <c r="L95" s="173">
        <f t="shared" si="109"/>
        <v>0</v>
      </c>
      <c r="M95" s="173">
        <f t="shared" si="109"/>
        <v>0</v>
      </c>
      <c r="N95" s="173">
        <f t="shared" si="109"/>
        <v>0</v>
      </c>
      <c r="O95" s="173">
        <f t="shared" si="109"/>
        <v>0</v>
      </c>
      <c r="P95" s="173">
        <f t="shared" si="109"/>
        <v>0</v>
      </c>
      <c r="Q95" s="173">
        <f t="shared" si="109"/>
        <v>0</v>
      </c>
      <c r="R95" s="173">
        <f t="shared" si="109"/>
        <v>0</v>
      </c>
      <c r="S95" s="188"/>
      <c r="T95" s="188"/>
      <c r="U95" s="189"/>
    </row>
    <row r="96" spans="1:21" hidden="1" x14ac:dyDescent="0.35">
      <c r="A96" s="794"/>
      <c r="B96" s="171">
        <f>Kulud25!A39</f>
        <v>0</v>
      </c>
      <c r="C96" s="172" t="s">
        <v>3</v>
      </c>
      <c r="D96" s="173">
        <f>Kulud25!E39</f>
        <v>0</v>
      </c>
      <c r="E96" s="173">
        <f t="shared" ref="E96:R98" si="110">D96</f>
        <v>0</v>
      </c>
      <c r="F96" s="173">
        <f t="shared" si="110"/>
        <v>0</v>
      </c>
      <c r="G96" s="173">
        <f t="shared" si="110"/>
        <v>0</v>
      </c>
      <c r="H96" s="173">
        <f t="shared" si="110"/>
        <v>0</v>
      </c>
      <c r="I96" s="173">
        <f t="shared" si="110"/>
        <v>0</v>
      </c>
      <c r="J96" s="173">
        <f t="shared" si="110"/>
        <v>0</v>
      </c>
      <c r="K96" s="173">
        <f t="shared" si="110"/>
        <v>0</v>
      </c>
      <c r="L96" s="173">
        <f t="shared" si="110"/>
        <v>0</v>
      </c>
      <c r="M96" s="173">
        <f t="shared" si="110"/>
        <v>0</v>
      </c>
      <c r="N96" s="173">
        <f t="shared" si="110"/>
        <v>0</v>
      </c>
      <c r="O96" s="173">
        <f t="shared" si="110"/>
        <v>0</v>
      </c>
      <c r="P96" s="173">
        <f t="shared" si="110"/>
        <v>0</v>
      </c>
      <c r="Q96" s="173">
        <f t="shared" si="110"/>
        <v>0</v>
      </c>
      <c r="R96" s="173">
        <f t="shared" si="110"/>
        <v>0</v>
      </c>
      <c r="S96" s="188"/>
      <c r="T96" s="188"/>
      <c r="U96" s="189"/>
    </row>
    <row r="97" spans="1:21" hidden="1" x14ac:dyDescent="0.35">
      <c r="A97" s="794"/>
      <c r="B97" s="171">
        <f>Kulud25!A40</f>
        <v>0</v>
      </c>
      <c r="C97" s="172" t="s">
        <v>3</v>
      </c>
      <c r="D97" s="173">
        <f>Kulud25!E40</f>
        <v>0</v>
      </c>
      <c r="E97" s="173">
        <f t="shared" si="110"/>
        <v>0</v>
      </c>
      <c r="F97" s="173">
        <f t="shared" si="110"/>
        <v>0</v>
      </c>
      <c r="G97" s="173">
        <f t="shared" si="110"/>
        <v>0</v>
      </c>
      <c r="H97" s="173">
        <f t="shared" si="110"/>
        <v>0</v>
      </c>
      <c r="I97" s="173">
        <f t="shared" si="110"/>
        <v>0</v>
      </c>
      <c r="J97" s="173">
        <f t="shared" si="110"/>
        <v>0</v>
      </c>
      <c r="K97" s="173">
        <f t="shared" si="110"/>
        <v>0</v>
      </c>
      <c r="L97" s="173">
        <f t="shared" si="110"/>
        <v>0</v>
      </c>
      <c r="M97" s="173">
        <f t="shared" si="110"/>
        <v>0</v>
      </c>
      <c r="N97" s="173">
        <f t="shared" si="110"/>
        <v>0</v>
      </c>
      <c r="O97" s="173">
        <f t="shared" si="110"/>
        <v>0</v>
      </c>
      <c r="P97" s="173">
        <f t="shared" si="110"/>
        <v>0</v>
      </c>
      <c r="Q97" s="173">
        <f t="shared" si="110"/>
        <v>0</v>
      </c>
      <c r="R97" s="173">
        <f t="shared" si="110"/>
        <v>0</v>
      </c>
      <c r="S97" s="188"/>
      <c r="T97" s="188"/>
      <c r="U97" s="189"/>
    </row>
    <row r="98" spans="1:21" hidden="1" x14ac:dyDescent="0.35">
      <c r="A98" s="794"/>
      <c r="B98" s="171">
        <f>Kulud25!A41</f>
        <v>0</v>
      </c>
      <c r="C98" s="172" t="s">
        <v>3</v>
      </c>
      <c r="D98" s="173">
        <f>Kulud25!E41</f>
        <v>0</v>
      </c>
      <c r="E98" s="173">
        <f t="shared" si="110"/>
        <v>0</v>
      </c>
      <c r="F98" s="173">
        <f t="shared" si="110"/>
        <v>0</v>
      </c>
      <c r="G98" s="173">
        <f t="shared" si="110"/>
        <v>0</v>
      </c>
      <c r="H98" s="173">
        <f t="shared" si="110"/>
        <v>0</v>
      </c>
      <c r="I98" s="173">
        <f t="shared" si="110"/>
        <v>0</v>
      </c>
      <c r="J98" s="173">
        <f t="shared" si="110"/>
        <v>0</v>
      </c>
      <c r="K98" s="173">
        <f t="shared" si="110"/>
        <v>0</v>
      </c>
      <c r="L98" s="173">
        <f t="shared" si="110"/>
        <v>0</v>
      </c>
      <c r="M98" s="173">
        <f t="shared" si="110"/>
        <v>0</v>
      </c>
      <c r="N98" s="173">
        <f t="shared" si="110"/>
        <v>0</v>
      </c>
      <c r="O98" s="173">
        <f t="shared" si="110"/>
        <v>0</v>
      </c>
      <c r="P98" s="173">
        <f t="shared" si="110"/>
        <v>0</v>
      </c>
      <c r="Q98" s="173">
        <f t="shared" si="110"/>
        <v>0</v>
      </c>
      <c r="R98" s="173">
        <f t="shared" si="110"/>
        <v>0</v>
      </c>
      <c r="S98" s="188"/>
      <c r="T98" s="188"/>
      <c r="U98" s="189"/>
    </row>
    <row r="99" spans="1:21" hidden="1" x14ac:dyDescent="0.35">
      <c r="A99" s="794"/>
      <c r="B99" s="171" t="s">
        <v>29</v>
      </c>
      <c r="C99" s="172" t="s">
        <v>3</v>
      </c>
      <c r="D99" s="173"/>
      <c r="E99" s="173"/>
      <c r="F99" s="173"/>
      <c r="G99" s="173"/>
      <c r="H99" s="173"/>
      <c r="I99" s="173"/>
      <c r="J99" s="173"/>
      <c r="K99" s="173"/>
      <c r="L99" s="173"/>
      <c r="M99" s="173"/>
      <c r="N99" s="173"/>
      <c r="O99" s="173"/>
      <c r="P99" s="173"/>
      <c r="Q99" s="173"/>
      <c r="R99" s="173"/>
      <c r="S99" s="188"/>
      <c r="T99" s="188"/>
      <c r="U99" s="189"/>
    </row>
    <row r="100" spans="1:21" hidden="1" x14ac:dyDescent="0.35">
      <c r="A100" s="794"/>
      <c r="B100" s="171" t="s">
        <v>30</v>
      </c>
      <c r="C100" s="172" t="s">
        <v>3</v>
      </c>
      <c r="D100" s="173"/>
      <c r="E100" s="173"/>
      <c r="F100" s="173"/>
      <c r="G100" s="173"/>
      <c r="H100" s="173"/>
      <c r="I100" s="173"/>
      <c r="J100" s="173"/>
      <c r="K100" s="173"/>
      <c r="L100" s="173"/>
      <c r="M100" s="173"/>
      <c r="N100" s="173"/>
      <c r="O100" s="173"/>
      <c r="P100" s="173"/>
      <c r="Q100" s="173"/>
      <c r="R100" s="173"/>
      <c r="S100" s="188"/>
      <c r="T100" s="188"/>
      <c r="U100" s="189"/>
    </row>
    <row r="101" spans="1:21" hidden="1" x14ac:dyDescent="0.35">
      <c r="A101" s="794"/>
      <c r="B101" s="171" t="s">
        <v>31</v>
      </c>
      <c r="C101" s="172" t="s">
        <v>3</v>
      </c>
      <c r="D101" s="173"/>
      <c r="E101" s="173"/>
      <c r="F101" s="173"/>
      <c r="G101" s="173"/>
      <c r="H101" s="173"/>
      <c r="I101" s="173"/>
      <c r="J101" s="173"/>
      <c r="K101" s="173"/>
      <c r="L101" s="173"/>
      <c r="M101" s="173"/>
      <c r="N101" s="173"/>
      <c r="O101" s="173"/>
      <c r="P101" s="173"/>
      <c r="Q101" s="173"/>
      <c r="R101" s="173"/>
      <c r="S101" s="188"/>
      <c r="T101" s="188"/>
      <c r="U101" s="189"/>
    </row>
    <row r="102" spans="1:21" hidden="1" x14ac:dyDescent="0.35">
      <c r="A102" s="794"/>
      <c r="B102" s="171" t="s">
        <v>32</v>
      </c>
      <c r="C102" s="172" t="s">
        <v>3</v>
      </c>
      <c r="D102" s="173"/>
      <c r="E102" s="173"/>
      <c r="F102" s="173"/>
      <c r="G102" s="173"/>
      <c r="H102" s="173"/>
      <c r="I102" s="173"/>
      <c r="J102" s="173"/>
      <c r="K102" s="173"/>
      <c r="L102" s="173"/>
      <c r="M102" s="173"/>
      <c r="N102" s="173"/>
      <c r="O102" s="173"/>
      <c r="P102" s="173"/>
      <c r="Q102" s="173"/>
      <c r="R102" s="173"/>
      <c r="S102" s="188"/>
      <c r="T102" s="188"/>
      <c r="U102" s="189"/>
    </row>
    <row r="103" spans="1:21" hidden="1" x14ac:dyDescent="0.35">
      <c r="A103" s="795"/>
      <c r="B103" s="171" t="s">
        <v>33</v>
      </c>
      <c r="C103" s="172"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x14ac:dyDescent="0.35">
      <c r="A104" s="791" t="s">
        <v>34</v>
      </c>
      <c r="B104" s="792"/>
      <c r="C104" s="192"/>
      <c r="D104" s="193">
        <f t="shared" ref="D104:R104" si="111">SUM(D94:D103)</f>
        <v>0</v>
      </c>
      <c r="E104" s="193">
        <f t="shared" si="111"/>
        <v>0</v>
      </c>
      <c r="F104" s="193">
        <f t="shared" si="111"/>
        <v>18333.333333333332</v>
      </c>
      <c r="G104" s="193">
        <f t="shared" si="111"/>
        <v>55000</v>
      </c>
      <c r="H104" s="193">
        <f t="shared" si="111"/>
        <v>55000</v>
      </c>
      <c r="I104" s="193">
        <f t="shared" si="111"/>
        <v>55000</v>
      </c>
      <c r="J104" s="193">
        <f t="shared" si="111"/>
        <v>55000</v>
      </c>
      <c r="K104" s="193">
        <f t="shared" si="111"/>
        <v>55000</v>
      </c>
      <c r="L104" s="193">
        <f t="shared" si="111"/>
        <v>55000</v>
      </c>
      <c r="M104" s="193">
        <f t="shared" si="111"/>
        <v>55000</v>
      </c>
      <c r="N104" s="193">
        <f t="shared" si="111"/>
        <v>55000</v>
      </c>
      <c r="O104" s="193">
        <f t="shared" si="111"/>
        <v>55000</v>
      </c>
      <c r="P104" s="193">
        <f t="shared" si="111"/>
        <v>55000</v>
      </c>
      <c r="Q104" s="193">
        <f t="shared" si="111"/>
        <v>55000</v>
      </c>
      <c r="R104" s="193">
        <f t="shared" si="111"/>
        <v>55000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90" t="str">
        <f>Kulud25!A29</f>
        <v>Remonditööd</v>
      </c>
      <c r="B106" s="790"/>
      <c r="C106" s="172" t="s">
        <v>3</v>
      </c>
      <c r="D106" s="173"/>
      <c r="E106" s="173"/>
      <c r="F106" s="173">
        <f>Kulud25!E29*4/12</f>
        <v>9000</v>
      </c>
      <c r="G106" s="173">
        <f>Kulud25!E29</f>
        <v>27000</v>
      </c>
      <c r="H106" s="173">
        <f t="shared" ref="H106:R106" si="112">G106</f>
        <v>27000</v>
      </c>
      <c r="I106" s="173">
        <f>Kulud50!E29</f>
        <v>27000</v>
      </c>
      <c r="J106" s="173">
        <f t="shared" si="112"/>
        <v>27000</v>
      </c>
      <c r="K106" s="173">
        <f t="shared" si="112"/>
        <v>27000</v>
      </c>
      <c r="L106" s="173">
        <f t="shared" si="112"/>
        <v>27000</v>
      </c>
      <c r="M106" s="173">
        <f>Kulud75!E29</f>
        <v>27000</v>
      </c>
      <c r="N106" s="173">
        <f t="shared" si="112"/>
        <v>27000</v>
      </c>
      <c r="O106" s="173">
        <f t="shared" si="112"/>
        <v>27000</v>
      </c>
      <c r="P106" s="173">
        <f t="shared" si="112"/>
        <v>27000</v>
      </c>
      <c r="Q106" s="173">
        <f t="shared" si="112"/>
        <v>27000</v>
      </c>
      <c r="R106" s="173">
        <f t="shared" si="112"/>
        <v>27000</v>
      </c>
      <c r="S106" s="188"/>
      <c r="T106" s="188"/>
      <c r="U106" s="189"/>
    </row>
    <row r="107" spans="1:21" ht="16.5" customHeight="1" x14ac:dyDescent="0.35">
      <c r="A107" s="790" t="str">
        <f>Kulud25!A54</f>
        <v>Valve</v>
      </c>
      <c r="B107" s="790"/>
      <c r="C107" s="172" t="s">
        <v>3</v>
      </c>
      <c r="D107" s="173"/>
      <c r="E107" s="173"/>
      <c r="F107" s="173">
        <f>Kulud25!E54*4/12</f>
        <v>4000</v>
      </c>
      <c r="G107" s="173">
        <f>Kulud25!E54</f>
        <v>12000</v>
      </c>
      <c r="H107" s="173">
        <f t="shared" ref="H107:R107" si="113">G107</f>
        <v>12000</v>
      </c>
      <c r="I107" s="173">
        <f>Kulud50!E54</f>
        <v>12000</v>
      </c>
      <c r="J107" s="173">
        <f t="shared" si="113"/>
        <v>12000</v>
      </c>
      <c r="K107" s="173">
        <f t="shared" si="113"/>
        <v>12000</v>
      </c>
      <c r="L107" s="173">
        <f t="shared" si="113"/>
        <v>12000</v>
      </c>
      <c r="M107" s="173">
        <f>Kulud75!E54</f>
        <v>12000</v>
      </c>
      <c r="N107" s="173">
        <f t="shared" si="113"/>
        <v>12000</v>
      </c>
      <c r="O107" s="173">
        <f t="shared" si="113"/>
        <v>12000</v>
      </c>
      <c r="P107" s="173">
        <f t="shared" si="113"/>
        <v>12000</v>
      </c>
      <c r="Q107" s="173">
        <f t="shared" si="113"/>
        <v>12000</v>
      </c>
      <c r="R107" s="173">
        <f t="shared" si="113"/>
        <v>12000</v>
      </c>
      <c r="S107" s="188"/>
      <c r="T107" s="188"/>
      <c r="U107" s="189"/>
    </row>
    <row r="108" spans="1:21" ht="16.5" customHeight="1" x14ac:dyDescent="0.35">
      <c r="A108" s="790" t="str">
        <f>Kulud25!A55</f>
        <v>Kindlustus</v>
      </c>
      <c r="B108" s="790"/>
      <c r="C108" s="172" t="s">
        <v>3</v>
      </c>
      <c r="D108" s="173"/>
      <c r="E108" s="173"/>
      <c r="F108" s="173">
        <f>Kulud25!E55*4/12</f>
        <v>3646</v>
      </c>
      <c r="G108" s="173">
        <f>Kulud25!E55</f>
        <v>10938</v>
      </c>
      <c r="H108" s="173">
        <f t="shared" ref="H108:R109" si="114">G108</f>
        <v>10938</v>
      </c>
      <c r="I108" s="173">
        <f>Kulud50!E55</f>
        <v>10938</v>
      </c>
      <c r="J108" s="173">
        <f t="shared" si="114"/>
        <v>10938</v>
      </c>
      <c r="K108" s="173">
        <f t="shared" si="114"/>
        <v>10938</v>
      </c>
      <c r="L108" s="173">
        <f t="shared" si="114"/>
        <v>10938</v>
      </c>
      <c r="M108" s="173">
        <f>Kulud75!E55</f>
        <v>10938</v>
      </c>
      <c r="N108" s="173">
        <f t="shared" si="114"/>
        <v>10938</v>
      </c>
      <c r="O108" s="173">
        <f t="shared" si="114"/>
        <v>10938</v>
      </c>
      <c r="P108" s="173">
        <f t="shared" si="114"/>
        <v>10938</v>
      </c>
      <c r="Q108" s="173">
        <f t="shared" si="114"/>
        <v>10938</v>
      </c>
      <c r="R108" s="173">
        <f t="shared" si="114"/>
        <v>10938</v>
      </c>
      <c r="S108" s="188"/>
      <c r="T108" s="188"/>
      <c r="U108" s="189"/>
    </row>
    <row r="109" spans="1:21" ht="16.5" customHeight="1" x14ac:dyDescent="0.35">
      <c r="A109" s="790" t="str">
        <f>Kulud25!A56</f>
        <v>Muu</v>
      </c>
      <c r="B109" s="790"/>
      <c r="C109" s="172" t="s">
        <v>3</v>
      </c>
      <c r="D109" s="173"/>
      <c r="E109" s="173"/>
      <c r="F109" s="173">
        <f>Kulud25!E56*4/12</f>
        <v>2380</v>
      </c>
      <c r="G109" s="173">
        <f>Kulud25!E56</f>
        <v>7140</v>
      </c>
      <c r="H109" s="173">
        <f t="shared" si="114"/>
        <v>7140</v>
      </c>
      <c r="I109" s="173">
        <f>Kulud50!E56</f>
        <v>7140</v>
      </c>
      <c r="J109" s="173">
        <f t="shared" si="114"/>
        <v>7140</v>
      </c>
      <c r="K109" s="173">
        <f t="shared" si="114"/>
        <v>7140</v>
      </c>
      <c r="L109" s="173">
        <f t="shared" si="114"/>
        <v>7140</v>
      </c>
      <c r="M109" s="173">
        <f>Kulud75!E56</f>
        <v>7140</v>
      </c>
      <c r="N109" s="173">
        <f t="shared" si="114"/>
        <v>7140</v>
      </c>
      <c r="O109" s="173">
        <f t="shared" si="114"/>
        <v>7140</v>
      </c>
      <c r="P109" s="173">
        <f t="shared" si="114"/>
        <v>7140</v>
      </c>
      <c r="Q109" s="173">
        <f t="shared" si="114"/>
        <v>7140</v>
      </c>
      <c r="R109" s="173">
        <f t="shared" si="114"/>
        <v>7140</v>
      </c>
      <c r="S109" s="188"/>
      <c r="T109" s="188"/>
      <c r="U109" s="189"/>
    </row>
    <row r="110" spans="1:21" ht="16.5" hidden="1" customHeight="1" x14ac:dyDescent="0.35">
      <c r="A110" s="790" t="s">
        <v>39</v>
      </c>
      <c r="B110" s="790"/>
      <c r="C110" s="172" t="s">
        <v>3</v>
      </c>
      <c r="D110" s="173"/>
      <c r="E110" s="173"/>
      <c r="F110" s="173"/>
      <c r="G110" s="173"/>
      <c r="H110" s="173"/>
      <c r="I110" s="173"/>
      <c r="J110" s="173"/>
      <c r="K110" s="173"/>
      <c r="L110" s="173"/>
      <c r="M110" s="173"/>
      <c r="N110" s="173"/>
      <c r="O110" s="173"/>
      <c r="P110" s="173"/>
      <c r="Q110" s="173"/>
      <c r="R110" s="173"/>
      <c r="S110" s="188"/>
      <c r="T110" s="188"/>
      <c r="U110" s="189"/>
    </row>
    <row r="111" spans="1:21" ht="16.5" hidden="1" customHeight="1" x14ac:dyDescent="0.35">
      <c r="A111" s="790"/>
      <c r="B111" s="790"/>
      <c r="C111" s="172" t="s">
        <v>3</v>
      </c>
      <c r="D111" s="173"/>
      <c r="E111" s="173"/>
      <c r="F111" s="173"/>
      <c r="G111" s="173"/>
      <c r="H111" s="173"/>
      <c r="I111" s="173"/>
      <c r="J111" s="173"/>
      <c r="K111" s="173"/>
      <c r="L111" s="173"/>
      <c r="M111" s="173"/>
      <c r="N111" s="173"/>
      <c r="O111" s="173"/>
      <c r="P111" s="173"/>
      <c r="Q111" s="173"/>
      <c r="R111" s="173"/>
      <c r="S111" s="188"/>
      <c r="T111" s="188"/>
      <c r="U111" s="189"/>
    </row>
    <row r="112" spans="1:21" ht="16.5" customHeight="1" x14ac:dyDescent="0.35">
      <c r="A112" s="790" t="s">
        <v>571</v>
      </c>
      <c r="B112" s="790"/>
      <c r="C112" s="172" t="s">
        <v>3</v>
      </c>
      <c r="D112" s="173"/>
      <c r="E112" s="173"/>
      <c r="F112" s="173"/>
      <c r="G112" s="173"/>
      <c r="H112" s="173"/>
      <c r="I112" s="173"/>
      <c r="J112" s="173"/>
      <c r="K112" s="173"/>
      <c r="L112" s="173"/>
      <c r="M112" s="173">
        <f>Asendusinvesteeringud!C5</f>
        <v>0</v>
      </c>
      <c r="N112" s="173"/>
      <c r="O112" s="173"/>
      <c r="P112" s="173"/>
      <c r="Q112" s="173"/>
      <c r="R112" s="173">
        <f>Asendusinvesteeringud!D5</f>
        <v>164070</v>
      </c>
      <c r="S112" s="188"/>
      <c r="T112" s="188"/>
      <c r="U112" s="189"/>
    </row>
    <row r="113" spans="1:21" ht="16.5" hidden="1" customHeight="1" x14ac:dyDescent="0.35">
      <c r="A113" s="790" t="s">
        <v>40</v>
      </c>
      <c r="B113" s="790"/>
      <c r="C113" s="172"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x14ac:dyDescent="0.35">
      <c r="A114" s="790" t="s">
        <v>41</v>
      </c>
      <c r="B114" s="790"/>
      <c r="C114" s="172"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x14ac:dyDescent="0.35">
      <c r="A115" s="790" t="s">
        <v>42</v>
      </c>
      <c r="B115" s="790"/>
      <c r="C115" s="172"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x14ac:dyDescent="0.35">
      <c r="A116" s="791" t="s">
        <v>35</v>
      </c>
      <c r="B116" s="792"/>
      <c r="C116" s="182" t="s">
        <v>3</v>
      </c>
      <c r="D116" s="193">
        <f t="shared" ref="D116:R116" si="115">SUM(D106:D115)</f>
        <v>0</v>
      </c>
      <c r="E116" s="193">
        <f t="shared" ref="E116:L116" si="116">SUM(E106:E115)</f>
        <v>0</v>
      </c>
      <c r="F116" s="193">
        <f t="shared" si="116"/>
        <v>19026</v>
      </c>
      <c r="G116" s="193">
        <f t="shared" si="116"/>
        <v>57078</v>
      </c>
      <c r="H116" s="193">
        <f t="shared" si="116"/>
        <v>57078</v>
      </c>
      <c r="I116" s="193">
        <f t="shared" si="116"/>
        <v>57078</v>
      </c>
      <c r="J116" s="193">
        <f t="shared" si="116"/>
        <v>57078</v>
      </c>
      <c r="K116" s="193">
        <f t="shared" si="116"/>
        <v>57078</v>
      </c>
      <c r="L116" s="193">
        <f t="shared" si="116"/>
        <v>57078</v>
      </c>
      <c r="M116" s="193">
        <f t="shared" si="115"/>
        <v>57078</v>
      </c>
      <c r="N116" s="193">
        <f t="shared" si="115"/>
        <v>57078</v>
      </c>
      <c r="O116" s="193">
        <f t="shared" si="115"/>
        <v>57078</v>
      </c>
      <c r="P116" s="193">
        <f t="shared" si="115"/>
        <v>57078</v>
      </c>
      <c r="Q116" s="193">
        <f t="shared" si="115"/>
        <v>57078</v>
      </c>
      <c r="R116" s="193">
        <f t="shared" si="115"/>
        <v>221148</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20.25" customHeight="1" x14ac:dyDescent="0.35">
      <c r="A118" s="800" t="s">
        <v>36</v>
      </c>
      <c r="B118" s="801"/>
      <c r="C118" s="199" t="s">
        <v>3</v>
      </c>
      <c r="D118" s="183">
        <f t="shared" ref="D118:R118" si="117">D80+D92+D104+D116</f>
        <v>22253.616000000002</v>
      </c>
      <c r="E118" s="183">
        <f t="shared" ref="E118:L118" si="118">E80+E92+E104+E116</f>
        <v>89014.464000000007</v>
      </c>
      <c r="F118" s="183">
        <f t="shared" si="118"/>
        <v>187568.82434690668</v>
      </c>
      <c r="G118" s="183">
        <f t="shared" si="118"/>
        <v>352184.37186727999</v>
      </c>
      <c r="H118" s="183">
        <f t="shared" si="118"/>
        <v>352184.37186727999</v>
      </c>
      <c r="I118" s="183">
        <f t="shared" si="118"/>
        <v>361855.93338767998</v>
      </c>
      <c r="J118" s="183">
        <f t="shared" si="118"/>
        <v>361855.93338767998</v>
      </c>
      <c r="K118" s="183">
        <f t="shared" si="118"/>
        <v>361855.93338767998</v>
      </c>
      <c r="L118" s="183">
        <f t="shared" si="118"/>
        <v>361855.93338767998</v>
      </c>
      <c r="M118" s="183">
        <f t="shared" si="117"/>
        <v>371527.49490807997</v>
      </c>
      <c r="N118" s="183">
        <f t="shared" si="117"/>
        <v>371527.49490807997</v>
      </c>
      <c r="O118" s="183">
        <f t="shared" si="117"/>
        <v>371527.49490807997</v>
      </c>
      <c r="P118" s="183">
        <f t="shared" si="117"/>
        <v>371527.49490807997</v>
      </c>
      <c r="Q118" s="183">
        <f t="shared" si="117"/>
        <v>371527.49490807997</v>
      </c>
      <c r="R118" s="183">
        <f t="shared" si="117"/>
        <v>535597.49490807997</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98" t="s">
        <v>37</v>
      </c>
      <c r="B121" s="799"/>
      <c r="C121" s="205" t="s">
        <v>3</v>
      </c>
      <c r="D121" s="206">
        <f t="shared" ref="D121:Q121" si="119">D53-D118</f>
        <v>-22253.616000000002</v>
      </c>
      <c r="E121" s="206">
        <f t="shared" si="119"/>
        <v>-89014.464000000007</v>
      </c>
      <c r="F121" s="206">
        <f t="shared" si="119"/>
        <v>-130116.55764963335</v>
      </c>
      <c r="G121" s="206">
        <f t="shared" si="119"/>
        <v>-179827.57177545998</v>
      </c>
      <c r="H121" s="206">
        <f t="shared" si="119"/>
        <v>-179827.57177545998</v>
      </c>
      <c r="I121" s="206">
        <f t="shared" si="119"/>
        <v>-15573.501193839998</v>
      </c>
      <c r="J121" s="206">
        <f t="shared" si="119"/>
        <v>-15573.501193839998</v>
      </c>
      <c r="K121" s="206">
        <f t="shared" si="119"/>
        <v>-15573.501193839998</v>
      </c>
      <c r="L121" s="206">
        <f t="shared" si="119"/>
        <v>-15573.501193839998</v>
      </c>
      <c r="M121" s="206">
        <f t="shared" si="119"/>
        <v>150249.40139798005</v>
      </c>
      <c r="N121" s="206">
        <f t="shared" si="119"/>
        <v>150249.40139798005</v>
      </c>
      <c r="O121" s="206">
        <f t="shared" si="119"/>
        <v>150249.40139798005</v>
      </c>
      <c r="P121" s="206">
        <f t="shared" si="119"/>
        <v>150249.40139798005</v>
      </c>
      <c r="Q121" s="206">
        <f t="shared" si="119"/>
        <v>150249.40139798005</v>
      </c>
      <c r="R121" s="206">
        <f>R53-R118</f>
        <v>-13820.598602019949</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798" t="s">
        <v>178</v>
      </c>
      <c r="B124" s="799"/>
      <c r="C124" s="205" t="s">
        <v>3</v>
      </c>
      <c r="D124" s="206">
        <f>D121</f>
        <v>-22253.616000000002</v>
      </c>
      <c r="E124" s="206">
        <f>D124+E121</f>
        <v>-111268.08000000002</v>
      </c>
      <c r="F124" s="206">
        <f t="shared" ref="F124:P124" si="120">E124+F121</f>
        <v>-241384.63764963337</v>
      </c>
      <c r="G124" s="206">
        <f t="shared" si="120"/>
        <v>-421212.20942509337</v>
      </c>
      <c r="H124" s="206">
        <f t="shared" si="120"/>
        <v>-601039.78120055329</v>
      </c>
      <c r="I124" s="206">
        <f t="shared" si="120"/>
        <v>-616613.28239439335</v>
      </c>
      <c r="J124" s="206">
        <f t="shared" si="120"/>
        <v>-632186.7835882334</v>
      </c>
      <c r="K124" s="206">
        <f t="shared" si="120"/>
        <v>-647760.28478207346</v>
      </c>
      <c r="L124" s="206">
        <f t="shared" si="120"/>
        <v>-663333.78597591352</v>
      </c>
      <c r="M124" s="206">
        <f t="shared" si="120"/>
        <v>-513084.38457793347</v>
      </c>
      <c r="N124" s="206">
        <f t="shared" si="120"/>
        <v>-362834.98317995341</v>
      </c>
      <c r="O124" s="206">
        <f t="shared" si="120"/>
        <v>-212585.58178197336</v>
      </c>
      <c r="P124" s="206">
        <f t="shared" si="120"/>
        <v>-62336.180383993313</v>
      </c>
      <c r="Q124" s="206">
        <f t="shared" ref="Q124" si="121">P124+Q121</f>
        <v>87913.221013986738</v>
      </c>
      <c r="R124" s="206">
        <f>Q124+R121</f>
        <v>74092.62241196679</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124:B124"/>
    <mergeCell ref="A118:B118"/>
    <mergeCell ref="A121:B121"/>
    <mergeCell ref="A112:B112"/>
    <mergeCell ref="A113:B113"/>
    <mergeCell ref="A114:B114"/>
    <mergeCell ref="A115:B115"/>
    <mergeCell ref="A116:B116"/>
    <mergeCell ref="A53:B53"/>
    <mergeCell ref="A106:B106"/>
    <mergeCell ref="A107:B107"/>
    <mergeCell ref="A108:B108"/>
    <mergeCell ref="A109:B109"/>
    <mergeCell ref="A58:A79"/>
    <mergeCell ref="A110:B110"/>
    <mergeCell ref="A111:B111"/>
    <mergeCell ref="A82:A91"/>
    <mergeCell ref="A80:B80"/>
    <mergeCell ref="A92:B92"/>
    <mergeCell ref="A94:A103"/>
    <mergeCell ref="A104:B104"/>
    <mergeCell ref="A47:B47"/>
    <mergeCell ref="A48:B48"/>
    <mergeCell ref="A49:B49"/>
    <mergeCell ref="A50:B50"/>
    <mergeCell ref="A51:B51"/>
    <mergeCell ref="A31:A33"/>
    <mergeCell ref="A35:A37"/>
    <mergeCell ref="A39:A41"/>
    <mergeCell ref="A43:A45"/>
    <mergeCell ref="A7:A9"/>
    <mergeCell ref="A11:A13"/>
    <mergeCell ref="A15:A17"/>
    <mergeCell ref="A19:A21"/>
    <mergeCell ref="A23:A25"/>
    <mergeCell ref="A27:A29"/>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topLeftCell="A3" workbookViewId="0">
      <selection activeCell="A11" sqref="A11:A13"/>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9" customFormat="1" ht="22.5" customHeight="1" x14ac:dyDescent="0.35">
      <c r="A1" s="207" t="s">
        <v>76</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2"/>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 si="2">Q3+1</f>
        <v>2038</v>
      </c>
      <c r="S3" s="212"/>
      <c r="T3" s="212"/>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38</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802" t="str">
        <f>'2. Tulud-kulud projektiga'!A7:A9</f>
        <v>Üüritulud.  1 korrus. Väike stuudio (2) koos abiruumidega</v>
      </c>
      <c r="B7" s="218" t="str">
        <f>'2. Tulud-kulud projektiga'!B7</f>
        <v>Kuu</v>
      </c>
      <c r="C7" s="219" t="str">
        <f>'2. Tulud-kulud projektiga'!C7</f>
        <v>päev</v>
      </c>
      <c r="D7" s="173"/>
      <c r="E7" s="173"/>
      <c r="F7" s="173"/>
      <c r="G7" s="173"/>
      <c r="H7" s="173"/>
      <c r="I7" s="173"/>
      <c r="J7" s="173"/>
      <c r="K7" s="173"/>
      <c r="L7" s="173"/>
      <c r="M7" s="173"/>
      <c r="N7" s="173"/>
      <c r="O7" s="173"/>
      <c r="P7" s="173"/>
      <c r="Q7" s="173"/>
      <c r="R7" s="173"/>
      <c r="S7" s="163"/>
      <c r="T7" s="163"/>
    </row>
    <row r="8" spans="1:20" ht="15.75" customHeight="1" x14ac:dyDescent="0.35">
      <c r="A8" s="802"/>
      <c r="B8" s="218" t="s">
        <v>0</v>
      </c>
      <c r="C8" s="219" t="s">
        <v>3</v>
      </c>
      <c r="D8" s="173"/>
      <c r="E8" s="173"/>
      <c r="F8" s="173"/>
      <c r="G8" s="173"/>
      <c r="H8" s="173"/>
      <c r="I8" s="173"/>
      <c r="J8" s="173"/>
      <c r="K8" s="173"/>
      <c r="L8" s="173"/>
      <c r="M8" s="173"/>
      <c r="N8" s="173"/>
      <c r="O8" s="173"/>
      <c r="P8" s="173"/>
      <c r="Q8" s="173"/>
      <c r="R8" s="173"/>
      <c r="S8" s="163"/>
      <c r="T8" s="163"/>
    </row>
    <row r="9" spans="1:20" ht="15.75" customHeight="1" x14ac:dyDescent="0.35">
      <c r="A9" s="802"/>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163"/>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63"/>
      <c r="T10" s="163"/>
    </row>
    <row r="11" spans="1:20" x14ac:dyDescent="0.35">
      <c r="A11" s="802" t="str">
        <f>'2. Tulud-kulud projektiga'!A11:A13</f>
        <v>Üüritulud.  1 korrus. Suur stuudio (1) koos abiruumidega</v>
      </c>
      <c r="B11" s="218" t="str">
        <f>'2. Tulud-kulud projektiga'!B11</f>
        <v>Kuu</v>
      </c>
      <c r="C11" s="219" t="str">
        <f>'2. Tulud-kulud projektiga'!C11</f>
        <v>päev</v>
      </c>
      <c r="D11" s="173"/>
      <c r="E11" s="173"/>
      <c r="F11" s="173"/>
      <c r="G11" s="173"/>
      <c r="H11" s="173"/>
      <c r="I11" s="173"/>
      <c r="J11" s="173"/>
      <c r="K11" s="173"/>
      <c r="L11" s="173"/>
      <c r="M11" s="173"/>
      <c r="N11" s="173"/>
      <c r="O11" s="173"/>
      <c r="P11" s="173"/>
      <c r="Q11" s="173"/>
      <c r="R11" s="173"/>
      <c r="S11" s="163"/>
      <c r="T11" s="163"/>
    </row>
    <row r="12" spans="1:20" x14ac:dyDescent="0.35">
      <c r="A12" s="802"/>
      <c r="B12" s="218" t="s">
        <v>0</v>
      </c>
      <c r="C12" s="219" t="s">
        <v>3</v>
      </c>
      <c r="D12" s="173"/>
      <c r="E12" s="173"/>
      <c r="F12" s="173"/>
      <c r="G12" s="173"/>
      <c r="H12" s="173"/>
      <c r="I12" s="173"/>
      <c r="J12" s="173"/>
      <c r="K12" s="173"/>
      <c r="L12" s="173"/>
      <c r="M12" s="173"/>
      <c r="N12" s="173"/>
      <c r="O12" s="173"/>
      <c r="P12" s="173"/>
      <c r="Q12" s="173"/>
      <c r="R12" s="173"/>
      <c r="S12" s="163"/>
      <c r="T12" s="163"/>
    </row>
    <row r="13" spans="1:20" x14ac:dyDescent="0.35">
      <c r="A13" s="802"/>
      <c r="B13" s="221" t="s">
        <v>1</v>
      </c>
      <c r="C13" s="222" t="s">
        <v>3</v>
      </c>
      <c r="D13" s="220">
        <f t="shared" ref="D13:R13" si="5">D11*D12</f>
        <v>0</v>
      </c>
      <c r="E13" s="220">
        <f t="shared" si="5"/>
        <v>0</v>
      </c>
      <c r="F13" s="220">
        <f t="shared" si="5"/>
        <v>0</v>
      </c>
      <c r="G13" s="220">
        <f t="shared" si="5"/>
        <v>0</v>
      </c>
      <c r="H13" s="220">
        <f t="shared" si="5"/>
        <v>0</v>
      </c>
      <c r="I13" s="220">
        <f t="shared" si="5"/>
        <v>0</v>
      </c>
      <c r="J13" s="220">
        <f t="shared" si="5"/>
        <v>0</v>
      </c>
      <c r="K13" s="220">
        <f t="shared" si="5"/>
        <v>0</v>
      </c>
      <c r="L13" s="220">
        <f t="shared" si="5"/>
        <v>0</v>
      </c>
      <c r="M13" s="220">
        <f t="shared" si="5"/>
        <v>0</v>
      </c>
      <c r="N13" s="220">
        <f t="shared" si="5"/>
        <v>0</v>
      </c>
      <c r="O13" s="220">
        <f t="shared" si="5"/>
        <v>0</v>
      </c>
      <c r="P13" s="220">
        <f t="shared" si="5"/>
        <v>0</v>
      </c>
      <c r="Q13" s="220">
        <f t="shared" ref="Q13" si="6">Q11*Q12</f>
        <v>0</v>
      </c>
      <c r="R13" s="220">
        <f t="shared" si="5"/>
        <v>0</v>
      </c>
      <c r="S13" s="163"/>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63"/>
      <c r="T14" s="163"/>
    </row>
    <row r="15" spans="1:20" x14ac:dyDescent="0.35">
      <c r="A15" s="802" t="str">
        <f>'2. Tulud-kulud projektiga'!A15:A17</f>
        <v>Üüritulud.  1 korrus. Laod ja töökojad</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63"/>
      <c r="T15" s="163"/>
    </row>
    <row r="16" spans="1:20" x14ac:dyDescent="0.35">
      <c r="A16" s="802"/>
      <c r="B16" s="218" t="s">
        <v>0</v>
      </c>
      <c r="C16" s="219" t="s">
        <v>3</v>
      </c>
      <c r="D16" s="173"/>
      <c r="E16" s="173"/>
      <c r="F16" s="173"/>
      <c r="G16" s="173"/>
      <c r="H16" s="173"/>
      <c r="I16" s="173"/>
      <c r="J16" s="173"/>
      <c r="K16" s="173"/>
      <c r="L16" s="173"/>
      <c r="M16" s="173"/>
      <c r="N16" s="173"/>
      <c r="O16" s="173"/>
      <c r="P16" s="173"/>
      <c r="Q16" s="173"/>
      <c r="R16" s="173"/>
      <c r="S16" s="163"/>
      <c r="T16" s="163"/>
    </row>
    <row r="17" spans="1:20" x14ac:dyDescent="0.35">
      <c r="A17" s="802"/>
      <c r="B17" s="221" t="s">
        <v>1</v>
      </c>
      <c r="C17" s="222" t="s">
        <v>3</v>
      </c>
      <c r="D17" s="220">
        <f t="shared" ref="D17:R17" si="7">D15*D16</f>
        <v>0</v>
      </c>
      <c r="E17" s="220">
        <f t="shared" si="7"/>
        <v>0</v>
      </c>
      <c r="F17" s="220">
        <f t="shared" si="7"/>
        <v>0</v>
      </c>
      <c r="G17" s="220">
        <f t="shared" si="7"/>
        <v>0</v>
      </c>
      <c r="H17" s="220">
        <f t="shared" si="7"/>
        <v>0</v>
      </c>
      <c r="I17" s="220">
        <f t="shared" si="7"/>
        <v>0</v>
      </c>
      <c r="J17" s="220">
        <f t="shared" si="7"/>
        <v>0</v>
      </c>
      <c r="K17" s="220">
        <f t="shared" si="7"/>
        <v>0</v>
      </c>
      <c r="L17" s="220">
        <f t="shared" si="7"/>
        <v>0</v>
      </c>
      <c r="M17" s="220">
        <f t="shared" si="7"/>
        <v>0</v>
      </c>
      <c r="N17" s="220">
        <f t="shared" si="7"/>
        <v>0</v>
      </c>
      <c r="O17" s="220">
        <f t="shared" si="7"/>
        <v>0</v>
      </c>
      <c r="P17" s="220">
        <f t="shared" si="7"/>
        <v>0</v>
      </c>
      <c r="Q17" s="220">
        <f t="shared" ref="Q17" si="8">Q15*Q16</f>
        <v>0</v>
      </c>
      <c r="R17" s="220">
        <f t="shared" si="7"/>
        <v>0</v>
      </c>
      <c r="S17" s="163"/>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63"/>
      <c r="T18" s="163"/>
    </row>
    <row r="19" spans="1:20" x14ac:dyDescent="0.35">
      <c r="A19" s="802" t="str">
        <f>'2. Tulud-kulud projektiga'!A19:A21</f>
        <v>Üüritulud. 2 korrus. Muud üüriruumid (postproduction)</v>
      </c>
      <c r="B19" s="218" t="str">
        <f>'2. Tulud-kulud projektiga'!B19</f>
        <v>Ühik 4</v>
      </c>
      <c r="C19" s="219" t="str">
        <f>'2. Tulud-kulud projektiga'!C19</f>
        <v>m2</v>
      </c>
      <c r="D19" s="173"/>
      <c r="E19" s="173"/>
      <c r="F19" s="173"/>
      <c r="G19" s="173"/>
      <c r="H19" s="173"/>
      <c r="I19" s="173"/>
      <c r="J19" s="173"/>
      <c r="K19" s="173"/>
      <c r="L19" s="173"/>
      <c r="M19" s="173"/>
      <c r="N19" s="173"/>
      <c r="O19" s="173"/>
      <c r="P19" s="173"/>
      <c r="Q19" s="173"/>
      <c r="R19" s="173"/>
      <c r="S19" s="163"/>
      <c r="T19" s="163"/>
    </row>
    <row r="20" spans="1:20" x14ac:dyDescent="0.35">
      <c r="A20" s="802"/>
      <c r="B20" s="218" t="s">
        <v>0</v>
      </c>
      <c r="C20" s="219" t="s">
        <v>3</v>
      </c>
      <c r="D20" s="173"/>
      <c r="E20" s="173"/>
      <c r="F20" s="173"/>
      <c r="G20" s="173"/>
      <c r="H20" s="173"/>
      <c r="I20" s="173"/>
      <c r="J20" s="173"/>
      <c r="K20" s="173"/>
      <c r="L20" s="173"/>
      <c r="M20" s="173"/>
      <c r="N20" s="173"/>
      <c r="O20" s="173"/>
      <c r="P20" s="173"/>
      <c r="Q20" s="173"/>
      <c r="R20" s="173"/>
      <c r="S20" s="163"/>
      <c r="T20" s="163"/>
    </row>
    <row r="21" spans="1:20" x14ac:dyDescent="0.35">
      <c r="A21" s="802"/>
      <c r="B21" s="221" t="s">
        <v>1</v>
      </c>
      <c r="C21" s="222" t="s">
        <v>3</v>
      </c>
      <c r="D21" s="220">
        <f t="shared" ref="D21:R21" si="9">D19*D20</f>
        <v>0</v>
      </c>
      <c r="E21" s="220">
        <f t="shared" si="9"/>
        <v>0</v>
      </c>
      <c r="F21" s="220">
        <f t="shared" si="9"/>
        <v>0</v>
      </c>
      <c r="G21" s="220">
        <f t="shared" si="9"/>
        <v>0</v>
      </c>
      <c r="H21" s="220">
        <f t="shared" si="9"/>
        <v>0</v>
      </c>
      <c r="I21" s="220">
        <f t="shared" si="9"/>
        <v>0</v>
      </c>
      <c r="J21" s="220">
        <f t="shared" si="9"/>
        <v>0</v>
      </c>
      <c r="K21" s="220">
        <f t="shared" si="9"/>
        <v>0</v>
      </c>
      <c r="L21" s="220">
        <f t="shared" si="9"/>
        <v>0</v>
      </c>
      <c r="M21" s="220">
        <f t="shared" si="9"/>
        <v>0</v>
      </c>
      <c r="N21" s="220">
        <f t="shared" si="9"/>
        <v>0</v>
      </c>
      <c r="O21" s="220">
        <f t="shared" si="9"/>
        <v>0</v>
      </c>
      <c r="P21" s="220">
        <f t="shared" si="9"/>
        <v>0</v>
      </c>
      <c r="Q21" s="220">
        <f t="shared" ref="Q21" si="10">Q19*Q20</f>
        <v>0</v>
      </c>
      <c r="R21" s="220">
        <f t="shared" si="9"/>
        <v>0</v>
      </c>
      <c r="S21" s="163"/>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63"/>
      <c r="T22" s="163"/>
    </row>
    <row r="23" spans="1:20" x14ac:dyDescent="0.35">
      <c r="A23" s="802" t="str">
        <f>'2. Tulud-kulud projektiga'!A23:A25</f>
        <v>Arved üürnikele kommunaalkulude eest</v>
      </c>
      <c r="B23" s="218" t="str">
        <f>'2. Tulud-kulud projektiga'!B23</f>
        <v>Ühik 5</v>
      </c>
      <c r="C23" s="219" t="str">
        <f>'2. Tulud-kulud projektiga'!C23</f>
        <v>Kuud</v>
      </c>
      <c r="D23" s="173"/>
      <c r="E23" s="173"/>
      <c r="F23" s="173"/>
      <c r="G23" s="173"/>
      <c r="H23" s="173"/>
      <c r="I23" s="173"/>
      <c r="J23" s="173"/>
      <c r="K23" s="173"/>
      <c r="L23" s="173"/>
      <c r="M23" s="173"/>
      <c r="N23" s="173"/>
      <c r="O23" s="173"/>
      <c r="P23" s="173"/>
      <c r="Q23" s="173"/>
      <c r="R23" s="173"/>
      <c r="S23" s="163"/>
      <c r="T23" s="163"/>
    </row>
    <row r="24" spans="1:20" x14ac:dyDescent="0.35">
      <c r="A24" s="802"/>
      <c r="B24" s="218" t="s">
        <v>0</v>
      </c>
      <c r="C24" s="219" t="s">
        <v>3</v>
      </c>
      <c r="D24" s="173"/>
      <c r="E24" s="173"/>
      <c r="F24" s="173"/>
      <c r="G24" s="173"/>
      <c r="H24" s="173"/>
      <c r="I24" s="173"/>
      <c r="J24" s="173"/>
      <c r="K24" s="173"/>
      <c r="L24" s="173"/>
      <c r="M24" s="173"/>
      <c r="N24" s="173"/>
      <c r="O24" s="173"/>
      <c r="P24" s="173"/>
      <c r="Q24" s="173"/>
      <c r="R24" s="173"/>
      <c r="S24" s="163"/>
      <c r="T24" s="163"/>
    </row>
    <row r="25" spans="1:20" x14ac:dyDescent="0.35">
      <c r="A25" s="802"/>
      <c r="B25" s="221" t="s">
        <v>1</v>
      </c>
      <c r="C25" s="222" t="s">
        <v>3</v>
      </c>
      <c r="D25" s="220">
        <f t="shared" ref="D25:R25" si="11">D23*D24</f>
        <v>0</v>
      </c>
      <c r="E25" s="220">
        <f t="shared" si="11"/>
        <v>0</v>
      </c>
      <c r="F25" s="220">
        <f t="shared" si="11"/>
        <v>0</v>
      </c>
      <c r="G25" s="220">
        <f t="shared" si="11"/>
        <v>0</v>
      </c>
      <c r="H25" s="220">
        <f t="shared" si="11"/>
        <v>0</v>
      </c>
      <c r="I25" s="220">
        <f t="shared" si="11"/>
        <v>0</v>
      </c>
      <c r="J25" s="220">
        <f t="shared" si="11"/>
        <v>0</v>
      </c>
      <c r="K25" s="220">
        <f t="shared" si="11"/>
        <v>0</v>
      </c>
      <c r="L25" s="220">
        <f t="shared" si="11"/>
        <v>0</v>
      </c>
      <c r="M25" s="220">
        <f t="shared" si="11"/>
        <v>0</v>
      </c>
      <c r="N25" s="220">
        <f t="shared" si="11"/>
        <v>0</v>
      </c>
      <c r="O25" s="220">
        <f t="shared" si="11"/>
        <v>0</v>
      </c>
      <c r="P25" s="220">
        <f t="shared" si="11"/>
        <v>0</v>
      </c>
      <c r="Q25" s="220">
        <f t="shared" ref="Q25" si="12">Q23*Q24</f>
        <v>0</v>
      </c>
      <c r="R25" s="220">
        <f t="shared" si="11"/>
        <v>0</v>
      </c>
      <c r="S25" s="163"/>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63"/>
      <c r="T26" s="163"/>
    </row>
    <row r="27" spans="1:20" hidden="1" outlineLevel="1" x14ac:dyDescent="0.35">
      <c r="A27" s="802" t="str">
        <f>'2. Tulud-kulud projektiga'!A27:A29</f>
        <v>Toode/teenus 6</v>
      </c>
      <c r="B27" s="218" t="str">
        <f>'2. Tulud-kulud projektiga'!B27</f>
        <v>Ühik 6</v>
      </c>
      <c r="C27" s="219">
        <f>'2. Tulud-kulud projektiga'!C27</f>
        <v>0</v>
      </c>
      <c r="D27" s="173"/>
      <c r="E27" s="173"/>
      <c r="F27" s="173"/>
      <c r="G27" s="173"/>
      <c r="H27" s="173"/>
      <c r="I27" s="173"/>
      <c r="J27" s="173"/>
      <c r="K27" s="173"/>
      <c r="L27" s="173"/>
      <c r="M27" s="173"/>
      <c r="N27" s="173"/>
      <c r="O27" s="173"/>
      <c r="P27" s="173"/>
      <c r="Q27" s="173"/>
      <c r="R27" s="173"/>
      <c r="S27" s="163"/>
      <c r="T27" s="163"/>
    </row>
    <row r="28" spans="1:20" hidden="1" outlineLevel="1" x14ac:dyDescent="0.35">
      <c r="A28" s="802"/>
      <c r="B28" s="218" t="s">
        <v>0</v>
      </c>
      <c r="C28" s="219" t="s">
        <v>3</v>
      </c>
      <c r="D28" s="173"/>
      <c r="E28" s="173"/>
      <c r="F28" s="173"/>
      <c r="G28" s="173"/>
      <c r="H28" s="173"/>
      <c r="I28" s="173"/>
      <c r="J28" s="173"/>
      <c r="K28" s="173"/>
      <c r="L28" s="173"/>
      <c r="M28" s="173"/>
      <c r="N28" s="173"/>
      <c r="O28" s="173"/>
      <c r="P28" s="173"/>
      <c r="Q28" s="173"/>
      <c r="R28" s="173"/>
      <c r="S28" s="163"/>
      <c r="T28" s="163"/>
    </row>
    <row r="29" spans="1:20" hidden="1" outlineLevel="1" x14ac:dyDescent="0.35">
      <c r="A29" s="802"/>
      <c r="B29" s="221" t="s">
        <v>1</v>
      </c>
      <c r="C29" s="222" t="s">
        <v>3</v>
      </c>
      <c r="D29" s="220">
        <f t="shared" ref="D29:R29" si="13">D27*D28</f>
        <v>0</v>
      </c>
      <c r="E29" s="220">
        <f t="shared" si="13"/>
        <v>0</v>
      </c>
      <c r="F29" s="220">
        <f t="shared" si="13"/>
        <v>0</v>
      </c>
      <c r="G29" s="220">
        <f t="shared" si="13"/>
        <v>0</v>
      </c>
      <c r="H29" s="220">
        <f t="shared" si="13"/>
        <v>0</v>
      </c>
      <c r="I29" s="220">
        <f t="shared" si="13"/>
        <v>0</v>
      </c>
      <c r="J29" s="220">
        <f t="shared" si="13"/>
        <v>0</v>
      </c>
      <c r="K29" s="220">
        <f t="shared" si="13"/>
        <v>0</v>
      </c>
      <c r="L29" s="220">
        <f t="shared" si="13"/>
        <v>0</v>
      </c>
      <c r="M29" s="220">
        <f t="shared" si="13"/>
        <v>0</v>
      </c>
      <c r="N29" s="220">
        <f t="shared" si="13"/>
        <v>0</v>
      </c>
      <c r="O29" s="220">
        <f t="shared" si="13"/>
        <v>0</v>
      </c>
      <c r="P29" s="220">
        <f t="shared" si="13"/>
        <v>0</v>
      </c>
      <c r="Q29" s="220">
        <f t="shared" ref="Q29" si="14">Q27*Q28</f>
        <v>0</v>
      </c>
      <c r="R29" s="220">
        <f t="shared" si="13"/>
        <v>0</v>
      </c>
      <c r="S29" s="163"/>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63"/>
      <c r="T30" s="163"/>
    </row>
    <row r="31" spans="1:20" hidden="1" outlineLevel="1" x14ac:dyDescent="0.35">
      <c r="A31" s="802" t="str">
        <f>'2. Tulud-kulud projektiga'!A31:A33</f>
        <v>Toode/teenus 7</v>
      </c>
      <c r="B31" s="218" t="str">
        <f>'2. Tulud-kulud projektiga'!B31</f>
        <v>Ühik 7</v>
      </c>
      <c r="C31" s="219">
        <f>'2. Tulud-kulud projektiga'!C31</f>
        <v>0</v>
      </c>
      <c r="D31" s="173"/>
      <c r="E31" s="173"/>
      <c r="F31" s="173"/>
      <c r="G31" s="173"/>
      <c r="H31" s="173"/>
      <c r="I31" s="173"/>
      <c r="J31" s="173"/>
      <c r="K31" s="173"/>
      <c r="L31" s="173"/>
      <c r="M31" s="173"/>
      <c r="N31" s="173"/>
      <c r="O31" s="173"/>
      <c r="P31" s="173"/>
      <c r="Q31" s="173"/>
      <c r="R31" s="173"/>
      <c r="S31" s="163"/>
      <c r="T31" s="163"/>
    </row>
    <row r="32" spans="1:20" hidden="1" outlineLevel="1" x14ac:dyDescent="0.35">
      <c r="A32" s="802"/>
      <c r="B32" s="218" t="s">
        <v>0</v>
      </c>
      <c r="C32" s="219" t="s">
        <v>3</v>
      </c>
      <c r="D32" s="173"/>
      <c r="E32" s="173"/>
      <c r="F32" s="173"/>
      <c r="G32" s="173"/>
      <c r="H32" s="173"/>
      <c r="I32" s="173"/>
      <c r="J32" s="173"/>
      <c r="K32" s="173"/>
      <c r="L32" s="173"/>
      <c r="M32" s="173"/>
      <c r="N32" s="173"/>
      <c r="O32" s="173"/>
      <c r="P32" s="173"/>
      <c r="Q32" s="173"/>
      <c r="R32" s="173"/>
      <c r="S32" s="163"/>
      <c r="T32" s="163"/>
    </row>
    <row r="33" spans="1:20" hidden="1" outlineLevel="1" x14ac:dyDescent="0.35">
      <c r="A33" s="802"/>
      <c r="B33" s="221" t="s">
        <v>1</v>
      </c>
      <c r="C33" s="222" t="s">
        <v>3</v>
      </c>
      <c r="D33" s="220">
        <f t="shared" ref="D33:R33" si="15">D31*D32</f>
        <v>0</v>
      </c>
      <c r="E33" s="220">
        <f t="shared" si="15"/>
        <v>0</v>
      </c>
      <c r="F33" s="220">
        <f t="shared" si="15"/>
        <v>0</v>
      </c>
      <c r="G33" s="220">
        <f t="shared" si="15"/>
        <v>0</v>
      </c>
      <c r="H33" s="220">
        <f t="shared" si="15"/>
        <v>0</v>
      </c>
      <c r="I33" s="220">
        <f t="shared" si="15"/>
        <v>0</v>
      </c>
      <c r="J33" s="220">
        <f t="shared" si="15"/>
        <v>0</v>
      </c>
      <c r="K33" s="220">
        <f t="shared" si="15"/>
        <v>0</v>
      </c>
      <c r="L33" s="220">
        <f t="shared" si="15"/>
        <v>0</v>
      </c>
      <c r="M33" s="220">
        <f t="shared" si="15"/>
        <v>0</v>
      </c>
      <c r="N33" s="220">
        <f t="shared" si="15"/>
        <v>0</v>
      </c>
      <c r="O33" s="220">
        <f t="shared" si="15"/>
        <v>0</v>
      </c>
      <c r="P33" s="220">
        <f t="shared" si="15"/>
        <v>0</v>
      </c>
      <c r="Q33" s="220">
        <f t="shared" ref="Q33" si="16">Q31*Q32</f>
        <v>0</v>
      </c>
      <c r="R33" s="220">
        <f t="shared" si="15"/>
        <v>0</v>
      </c>
      <c r="S33" s="163"/>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63"/>
      <c r="T34" s="163"/>
    </row>
    <row r="35" spans="1:20" hidden="1" outlineLevel="1" x14ac:dyDescent="0.35">
      <c r="A35" s="802" t="str">
        <f>'2. Tulud-kulud projektiga'!A35:A37</f>
        <v>Toode/teenus 8</v>
      </c>
      <c r="B35" s="218" t="str">
        <f>'2. Tulud-kulud projektiga'!B35</f>
        <v>Ühik 8</v>
      </c>
      <c r="C35" s="219">
        <f>'2. Tulud-kulud projektiga'!C35</f>
        <v>0</v>
      </c>
      <c r="D35" s="173"/>
      <c r="E35" s="173"/>
      <c r="F35" s="173"/>
      <c r="G35" s="173"/>
      <c r="H35" s="173"/>
      <c r="I35" s="173"/>
      <c r="J35" s="173"/>
      <c r="K35" s="173"/>
      <c r="L35" s="173"/>
      <c r="M35" s="173"/>
      <c r="N35" s="173"/>
      <c r="O35" s="173"/>
      <c r="P35" s="173"/>
      <c r="Q35" s="173"/>
      <c r="R35" s="173"/>
      <c r="S35" s="163"/>
      <c r="T35" s="163"/>
    </row>
    <row r="36" spans="1:20" hidden="1" outlineLevel="1" x14ac:dyDescent="0.35">
      <c r="A36" s="802"/>
      <c r="B36" s="218" t="s">
        <v>0</v>
      </c>
      <c r="C36" s="219" t="s">
        <v>3</v>
      </c>
      <c r="D36" s="173"/>
      <c r="E36" s="173"/>
      <c r="F36" s="173"/>
      <c r="G36" s="173"/>
      <c r="H36" s="173"/>
      <c r="I36" s="173"/>
      <c r="J36" s="173"/>
      <c r="K36" s="173"/>
      <c r="L36" s="173"/>
      <c r="M36" s="173"/>
      <c r="N36" s="173"/>
      <c r="O36" s="173"/>
      <c r="P36" s="173"/>
      <c r="Q36" s="173"/>
      <c r="R36" s="173"/>
      <c r="S36" s="163"/>
      <c r="T36" s="163"/>
    </row>
    <row r="37" spans="1:20" hidden="1" outlineLevel="1" x14ac:dyDescent="0.35">
      <c r="A37" s="802"/>
      <c r="B37" s="221" t="s">
        <v>1</v>
      </c>
      <c r="C37" s="222" t="s">
        <v>3</v>
      </c>
      <c r="D37" s="220">
        <f t="shared" ref="D37:R37" si="17">D35*D36</f>
        <v>0</v>
      </c>
      <c r="E37" s="220">
        <f t="shared" si="17"/>
        <v>0</v>
      </c>
      <c r="F37" s="220">
        <f t="shared" si="17"/>
        <v>0</v>
      </c>
      <c r="G37" s="220">
        <f t="shared" si="17"/>
        <v>0</v>
      </c>
      <c r="H37" s="220">
        <f t="shared" si="17"/>
        <v>0</v>
      </c>
      <c r="I37" s="220">
        <f t="shared" si="17"/>
        <v>0</v>
      </c>
      <c r="J37" s="220">
        <f t="shared" si="17"/>
        <v>0</v>
      </c>
      <c r="K37" s="220">
        <f t="shared" si="17"/>
        <v>0</v>
      </c>
      <c r="L37" s="220">
        <f t="shared" si="17"/>
        <v>0</v>
      </c>
      <c r="M37" s="220">
        <f t="shared" si="17"/>
        <v>0</v>
      </c>
      <c r="N37" s="220">
        <f t="shared" si="17"/>
        <v>0</v>
      </c>
      <c r="O37" s="220">
        <f t="shared" si="17"/>
        <v>0</v>
      </c>
      <c r="P37" s="220">
        <f t="shared" si="17"/>
        <v>0</v>
      </c>
      <c r="Q37" s="220">
        <f t="shared" ref="Q37" si="18">Q35*Q36</f>
        <v>0</v>
      </c>
      <c r="R37" s="220">
        <f t="shared" si="17"/>
        <v>0</v>
      </c>
      <c r="S37" s="163"/>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63"/>
      <c r="T38" s="163"/>
    </row>
    <row r="39" spans="1:20" hidden="1" outlineLevel="1" x14ac:dyDescent="0.35">
      <c r="A39" s="802" t="str">
        <f>'2. Tulud-kulud projektiga'!A39:A41</f>
        <v>Toode/teenus 9</v>
      </c>
      <c r="B39" s="218" t="str">
        <f>'2. Tulud-kulud projektiga'!B39</f>
        <v>Ühik 9</v>
      </c>
      <c r="C39" s="219">
        <f>'2. Tulud-kulud projektiga'!C39</f>
        <v>0</v>
      </c>
      <c r="D39" s="173"/>
      <c r="E39" s="173"/>
      <c r="F39" s="173"/>
      <c r="G39" s="173"/>
      <c r="H39" s="173"/>
      <c r="I39" s="173"/>
      <c r="J39" s="173"/>
      <c r="K39" s="173"/>
      <c r="L39" s="173"/>
      <c r="M39" s="173"/>
      <c r="N39" s="173"/>
      <c r="O39" s="173"/>
      <c r="P39" s="173"/>
      <c r="Q39" s="173"/>
      <c r="R39" s="173"/>
      <c r="S39" s="163"/>
      <c r="T39" s="163"/>
    </row>
    <row r="40" spans="1:20" hidden="1" outlineLevel="1" x14ac:dyDescent="0.35">
      <c r="A40" s="802"/>
      <c r="B40" s="218" t="s">
        <v>0</v>
      </c>
      <c r="C40" s="219" t="s">
        <v>3</v>
      </c>
      <c r="D40" s="173"/>
      <c r="E40" s="173"/>
      <c r="F40" s="173"/>
      <c r="G40" s="173"/>
      <c r="H40" s="173"/>
      <c r="I40" s="173"/>
      <c r="J40" s="173"/>
      <c r="K40" s="173"/>
      <c r="L40" s="173"/>
      <c r="M40" s="173"/>
      <c r="N40" s="173"/>
      <c r="O40" s="173"/>
      <c r="P40" s="173"/>
      <c r="Q40" s="173"/>
      <c r="R40" s="173"/>
      <c r="S40" s="163"/>
      <c r="T40" s="163"/>
    </row>
    <row r="41" spans="1:20" hidden="1" outlineLevel="1" x14ac:dyDescent="0.35">
      <c r="A41" s="802"/>
      <c r="B41" s="221" t="s">
        <v>1</v>
      </c>
      <c r="C41" s="222" t="s">
        <v>3</v>
      </c>
      <c r="D41" s="220">
        <f t="shared" ref="D41:R41" si="19">D39*D40</f>
        <v>0</v>
      </c>
      <c r="E41" s="220">
        <f t="shared" si="19"/>
        <v>0</v>
      </c>
      <c r="F41" s="220">
        <f t="shared" si="19"/>
        <v>0</v>
      </c>
      <c r="G41" s="220">
        <f t="shared" si="19"/>
        <v>0</v>
      </c>
      <c r="H41" s="220">
        <f t="shared" si="19"/>
        <v>0</v>
      </c>
      <c r="I41" s="220">
        <f t="shared" si="19"/>
        <v>0</v>
      </c>
      <c r="J41" s="220">
        <f t="shared" si="19"/>
        <v>0</v>
      </c>
      <c r="K41" s="220">
        <f t="shared" si="19"/>
        <v>0</v>
      </c>
      <c r="L41" s="220">
        <f t="shared" si="19"/>
        <v>0</v>
      </c>
      <c r="M41" s="220">
        <f t="shared" si="19"/>
        <v>0</v>
      </c>
      <c r="N41" s="220">
        <f t="shared" si="19"/>
        <v>0</v>
      </c>
      <c r="O41" s="220">
        <f t="shared" si="19"/>
        <v>0</v>
      </c>
      <c r="P41" s="220">
        <f t="shared" si="19"/>
        <v>0</v>
      </c>
      <c r="Q41" s="220">
        <f t="shared" ref="Q41" si="20">Q39*Q40</f>
        <v>0</v>
      </c>
      <c r="R41" s="220">
        <f t="shared" si="19"/>
        <v>0</v>
      </c>
      <c r="S41" s="163"/>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63"/>
      <c r="T42" s="163"/>
    </row>
    <row r="43" spans="1:20" hidden="1" outlineLevel="1" x14ac:dyDescent="0.35">
      <c r="A43" s="802" t="str">
        <f>'2. Tulud-kulud projektiga'!A43:A45</f>
        <v>Toode/teenus 10</v>
      </c>
      <c r="B43" s="218" t="str">
        <f>'2. Tulud-kulud projektiga'!B43</f>
        <v>Ühik 10</v>
      </c>
      <c r="C43" s="219">
        <f>'2. Tulud-kulud projektiga'!C43</f>
        <v>0</v>
      </c>
      <c r="D43" s="173"/>
      <c r="E43" s="173"/>
      <c r="F43" s="173"/>
      <c r="G43" s="173"/>
      <c r="H43" s="173"/>
      <c r="I43" s="173"/>
      <c r="J43" s="173"/>
      <c r="K43" s="173"/>
      <c r="L43" s="173"/>
      <c r="M43" s="173"/>
      <c r="N43" s="173"/>
      <c r="O43" s="173"/>
      <c r="P43" s="173"/>
      <c r="Q43" s="173"/>
      <c r="R43" s="173"/>
      <c r="S43" s="163"/>
      <c r="T43" s="163"/>
    </row>
    <row r="44" spans="1:20" hidden="1" outlineLevel="1" x14ac:dyDescent="0.35">
      <c r="A44" s="802"/>
      <c r="B44" s="218" t="s">
        <v>0</v>
      </c>
      <c r="C44" s="219" t="s">
        <v>3</v>
      </c>
      <c r="D44" s="173"/>
      <c r="E44" s="173"/>
      <c r="F44" s="173"/>
      <c r="G44" s="173"/>
      <c r="H44" s="173"/>
      <c r="I44" s="173"/>
      <c r="J44" s="173"/>
      <c r="K44" s="173"/>
      <c r="L44" s="173"/>
      <c r="M44" s="173"/>
      <c r="N44" s="173"/>
      <c r="O44" s="173"/>
      <c r="P44" s="173"/>
      <c r="Q44" s="173"/>
      <c r="R44" s="173"/>
      <c r="S44" s="163"/>
      <c r="T44" s="163"/>
    </row>
    <row r="45" spans="1:20" hidden="1" outlineLevel="1" x14ac:dyDescent="0.35">
      <c r="A45" s="802"/>
      <c r="B45" s="221" t="s">
        <v>1</v>
      </c>
      <c r="C45" s="222" t="s">
        <v>3</v>
      </c>
      <c r="D45" s="220">
        <f t="shared" ref="D45:R45" si="21">D43*D44</f>
        <v>0</v>
      </c>
      <c r="E45" s="220">
        <f t="shared" si="21"/>
        <v>0</v>
      </c>
      <c r="F45" s="220">
        <f t="shared" si="21"/>
        <v>0</v>
      </c>
      <c r="G45" s="220">
        <f t="shared" si="21"/>
        <v>0</v>
      </c>
      <c r="H45" s="220">
        <f t="shared" si="21"/>
        <v>0</v>
      </c>
      <c r="I45" s="220">
        <f t="shared" si="21"/>
        <v>0</v>
      </c>
      <c r="J45" s="220">
        <f t="shared" si="21"/>
        <v>0</v>
      </c>
      <c r="K45" s="220">
        <f t="shared" si="21"/>
        <v>0</v>
      </c>
      <c r="L45" s="220">
        <f t="shared" si="21"/>
        <v>0</v>
      </c>
      <c r="M45" s="220">
        <f t="shared" si="21"/>
        <v>0</v>
      </c>
      <c r="N45" s="220">
        <f t="shared" si="21"/>
        <v>0</v>
      </c>
      <c r="O45" s="220">
        <f t="shared" si="21"/>
        <v>0</v>
      </c>
      <c r="P45" s="220">
        <f t="shared" si="21"/>
        <v>0</v>
      </c>
      <c r="Q45" s="220">
        <f t="shared" ref="Q45" si="22">Q43*Q44</f>
        <v>0</v>
      </c>
      <c r="R45" s="220">
        <f t="shared" si="21"/>
        <v>0</v>
      </c>
      <c r="S45" s="163"/>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customHeight="1" x14ac:dyDescent="0.35">
      <c r="A47" s="805" t="str">
        <f>'2. Tulud-kulud projektiga'!A47:B47</f>
        <v>Muu tulu (nimetage)</v>
      </c>
      <c r="B47" s="806"/>
      <c r="C47" s="222" t="s">
        <v>3</v>
      </c>
      <c r="D47" s="173"/>
      <c r="E47" s="173"/>
      <c r="F47" s="173"/>
      <c r="G47" s="173"/>
      <c r="H47" s="173"/>
      <c r="I47" s="173"/>
      <c r="J47" s="173"/>
      <c r="K47" s="173"/>
      <c r="L47" s="173"/>
      <c r="M47" s="173"/>
      <c r="N47" s="173"/>
      <c r="O47" s="173"/>
      <c r="P47" s="173"/>
      <c r="Q47" s="173"/>
      <c r="R47" s="173"/>
      <c r="S47" s="163"/>
      <c r="T47" s="163"/>
    </row>
    <row r="48" spans="1:20" ht="18.75" customHeight="1" x14ac:dyDescent="0.35">
      <c r="A48" s="805" t="str">
        <f>'2. Tulud-kulud projektiga'!A48:B48</f>
        <v>Muu tulu (nimetage)</v>
      </c>
      <c r="B48" s="806"/>
      <c r="C48" s="222" t="s">
        <v>3</v>
      </c>
      <c r="D48" s="173"/>
      <c r="E48" s="173"/>
      <c r="F48" s="173"/>
      <c r="G48" s="173"/>
      <c r="H48" s="173"/>
      <c r="I48" s="173"/>
      <c r="J48" s="173"/>
      <c r="K48" s="173"/>
      <c r="L48" s="173"/>
      <c r="M48" s="173"/>
      <c r="N48" s="173"/>
      <c r="O48" s="173"/>
      <c r="P48" s="173"/>
      <c r="Q48" s="173"/>
      <c r="R48" s="173"/>
      <c r="S48" s="163"/>
      <c r="T48" s="163"/>
    </row>
    <row r="49" spans="1:21" ht="18.75" customHeight="1" x14ac:dyDescent="0.35">
      <c r="A49" s="805" t="str">
        <f>'2. Tulud-kulud projektiga'!A49:B49</f>
        <v>Muu tulu (nimetage)</v>
      </c>
      <c r="B49" s="806"/>
      <c r="C49" s="222" t="s">
        <v>3</v>
      </c>
      <c r="D49" s="173"/>
      <c r="E49" s="173"/>
      <c r="F49" s="173"/>
      <c r="G49" s="173"/>
      <c r="H49" s="173"/>
      <c r="I49" s="173"/>
      <c r="J49" s="173"/>
      <c r="K49" s="173"/>
      <c r="L49" s="173"/>
      <c r="M49" s="173"/>
      <c r="N49" s="173"/>
      <c r="O49" s="173"/>
      <c r="P49" s="173"/>
      <c r="Q49" s="173"/>
      <c r="R49" s="173"/>
      <c r="S49" s="163"/>
      <c r="T49" s="163"/>
    </row>
    <row r="50" spans="1:21" ht="18.75" customHeight="1" x14ac:dyDescent="0.35">
      <c r="A50" s="805" t="str">
        <f>'2. Tulud-kulud projektiga'!A50:B50</f>
        <v>Muu tulu (nimetage)</v>
      </c>
      <c r="B50" s="806"/>
      <c r="C50" s="222" t="s">
        <v>3</v>
      </c>
      <c r="D50" s="173"/>
      <c r="E50" s="173"/>
      <c r="F50" s="173"/>
      <c r="G50" s="173"/>
      <c r="H50" s="173"/>
      <c r="I50" s="173"/>
      <c r="J50" s="173"/>
      <c r="K50" s="173"/>
      <c r="L50" s="173"/>
      <c r="M50" s="173"/>
      <c r="N50" s="173"/>
      <c r="O50" s="173"/>
      <c r="P50" s="173"/>
      <c r="Q50" s="173"/>
      <c r="R50" s="173"/>
      <c r="S50" s="163"/>
      <c r="T50" s="163"/>
    </row>
    <row r="51" spans="1:21" ht="18.75" customHeight="1" x14ac:dyDescent="0.35">
      <c r="A51" s="805" t="str">
        <f>'2. Tulud-kulud projektiga'!A51:B51</f>
        <v>Muu tulu (nimetage)</v>
      </c>
      <c r="B51" s="806"/>
      <c r="C51" s="222" t="s">
        <v>3</v>
      </c>
      <c r="D51" s="173"/>
      <c r="E51" s="173"/>
      <c r="F51" s="173"/>
      <c r="G51" s="173"/>
      <c r="H51" s="173"/>
      <c r="I51" s="173"/>
      <c r="J51" s="173"/>
      <c r="K51" s="173"/>
      <c r="L51" s="173"/>
      <c r="M51" s="173"/>
      <c r="N51" s="173"/>
      <c r="O51" s="173"/>
      <c r="P51" s="173"/>
      <c r="Q51" s="173"/>
      <c r="R51" s="173"/>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85" customFormat="1" ht="21" customHeight="1" x14ac:dyDescent="0.35">
      <c r="A53" s="807" t="s">
        <v>8</v>
      </c>
      <c r="B53" s="808"/>
      <c r="C53" s="224" t="s">
        <v>3</v>
      </c>
      <c r="D53" s="225">
        <f t="shared" ref="D53:R53" si="23">D9+D13+D17+D21+D25+D29+D33+D37+D41+D45+D47+D48+D49+D50+D51</f>
        <v>0</v>
      </c>
      <c r="E53" s="225">
        <f t="shared" si="23"/>
        <v>0</v>
      </c>
      <c r="F53" s="225">
        <f t="shared" si="23"/>
        <v>0</v>
      </c>
      <c r="G53" s="225">
        <f t="shared" si="23"/>
        <v>0</v>
      </c>
      <c r="H53" s="225">
        <f t="shared" si="23"/>
        <v>0</v>
      </c>
      <c r="I53" s="225">
        <f t="shared" si="23"/>
        <v>0</v>
      </c>
      <c r="J53" s="225">
        <f t="shared" si="23"/>
        <v>0</v>
      </c>
      <c r="K53" s="225">
        <f t="shared" si="23"/>
        <v>0</v>
      </c>
      <c r="L53" s="225">
        <f t="shared" si="23"/>
        <v>0</v>
      </c>
      <c r="M53" s="225">
        <f t="shared" si="23"/>
        <v>0</v>
      </c>
      <c r="N53" s="225">
        <f t="shared" si="23"/>
        <v>0</v>
      </c>
      <c r="O53" s="225">
        <f t="shared" si="23"/>
        <v>0</v>
      </c>
      <c r="P53" s="225">
        <f t="shared" si="23"/>
        <v>0</v>
      </c>
      <c r="Q53" s="225">
        <f t="shared" ref="Q53" si="24">Q9+Q13+Q17+Q21+Q25+Q29+Q33+Q37+Q41+Q45+Q47+Q48+Q49+Q50+Q51</f>
        <v>0</v>
      </c>
      <c r="R53" s="225">
        <f t="shared" si="23"/>
        <v>0</v>
      </c>
      <c r="S53" s="184"/>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14</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802" t="str">
        <f>'2. Tulud-kulud projektiga'!A58:A79</f>
        <v>Tööjõukulud</v>
      </c>
      <c r="B58" s="218" t="str">
        <f>'2. Tulud-kulud projektiga'!B58</f>
        <v>Stuudiote turundus- ja kommunikatsioonijuht</v>
      </c>
      <c r="C58" s="219" t="s">
        <v>3</v>
      </c>
      <c r="D58" s="173"/>
      <c r="E58" s="173"/>
      <c r="F58" s="173"/>
      <c r="G58" s="173"/>
      <c r="H58" s="173"/>
      <c r="I58" s="173"/>
      <c r="J58" s="173"/>
      <c r="K58" s="173"/>
      <c r="L58" s="173"/>
      <c r="M58" s="173"/>
      <c r="N58" s="173"/>
      <c r="O58" s="173"/>
      <c r="P58" s="173"/>
      <c r="Q58" s="173"/>
      <c r="R58" s="173"/>
      <c r="S58" s="188"/>
      <c r="T58" s="188"/>
      <c r="U58" s="189"/>
    </row>
    <row r="59" spans="1:21" x14ac:dyDescent="0.35">
      <c r="A59" s="802"/>
      <c r="B59" s="218" t="str">
        <f>'2. Tulud-kulud projektiga'!B59</f>
        <v>Filmitööstuse soft landing teenuste juht</v>
      </c>
      <c r="C59" s="219" t="s">
        <v>3</v>
      </c>
      <c r="D59" s="173"/>
      <c r="E59" s="173"/>
      <c r="F59" s="173"/>
      <c r="G59" s="173"/>
      <c r="H59" s="173"/>
      <c r="I59" s="173"/>
      <c r="J59" s="173"/>
      <c r="K59" s="173"/>
      <c r="L59" s="173"/>
      <c r="M59" s="173"/>
      <c r="N59" s="173"/>
      <c r="O59" s="173"/>
      <c r="P59" s="173"/>
      <c r="Q59" s="173"/>
      <c r="R59" s="173"/>
      <c r="S59" s="188"/>
      <c r="T59" s="188"/>
      <c r="U59" s="189"/>
    </row>
    <row r="60" spans="1:21" x14ac:dyDescent="0.35">
      <c r="A60" s="802"/>
      <c r="B60" s="218">
        <f>'2. Tulud-kulud projektiga'!B60</f>
        <v>0</v>
      </c>
      <c r="C60" s="219" t="s">
        <v>3</v>
      </c>
      <c r="D60" s="173"/>
      <c r="E60" s="173"/>
      <c r="F60" s="173"/>
      <c r="G60" s="173"/>
      <c r="H60" s="173"/>
      <c r="I60" s="173"/>
      <c r="J60" s="173"/>
      <c r="K60" s="173"/>
      <c r="L60" s="173"/>
      <c r="M60" s="173"/>
      <c r="N60" s="173"/>
      <c r="O60" s="173"/>
      <c r="P60" s="173"/>
      <c r="Q60" s="173"/>
      <c r="R60" s="173"/>
      <c r="S60" s="188"/>
      <c r="T60" s="188"/>
      <c r="U60" s="189"/>
    </row>
    <row r="61" spans="1:21" x14ac:dyDescent="0.35">
      <c r="A61" s="802"/>
      <c r="B61" s="218" t="str">
        <f>'2. Tulud-kulud projektiga'!B61</f>
        <v>Töötaja 4</v>
      </c>
      <c r="C61" s="219" t="s">
        <v>3</v>
      </c>
      <c r="D61" s="173"/>
      <c r="E61" s="173"/>
      <c r="F61" s="173"/>
      <c r="G61" s="173"/>
      <c r="H61" s="173"/>
      <c r="I61" s="173"/>
      <c r="J61" s="173"/>
      <c r="K61" s="173"/>
      <c r="L61" s="173"/>
      <c r="M61" s="173"/>
      <c r="N61" s="173"/>
      <c r="O61" s="173"/>
      <c r="P61" s="173"/>
      <c r="Q61" s="173"/>
      <c r="R61" s="173"/>
      <c r="S61" s="188"/>
      <c r="T61" s="188"/>
      <c r="U61" s="189"/>
    </row>
    <row r="62" spans="1:21" x14ac:dyDescent="0.35">
      <c r="A62" s="802"/>
      <c r="B62" s="218" t="str">
        <f>'2. Tulud-kulud projektiga'!B62</f>
        <v>Töötaja 5</v>
      </c>
      <c r="C62" s="219" t="s">
        <v>3</v>
      </c>
      <c r="D62" s="173"/>
      <c r="E62" s="173"/>
      <c r="F62" s="173"/>
      <c r="G62" s="173"/>
      <c r="H62" s="173"/>
      <c r="I62" s="173"/>
      <c r="J62" s="173"/>
      <c r="K62" s="173"/>
      <c r="L62" s="173"/>
      <c r="M62" s="173"/>
      <c r="N62" s="173"/>
      <c r="O62" s="173"/>
      <c r="P62" s="173"/>
      <c r="Q62" s="173"/>
      <c r="R62" s="173"/>
      <c r="S62" s="188"/>
      <c r="T62" s="188"/>
      <c r="U62" s="189"/>
    </row>
    <row r="63" spans="1:21" x14ac:dyDescent="0.35">
      <c r="A63" s="802"/>
      <c r="B63" s="218" t="str">
        <f>'2. Tulud-kulud projektiga'!B63</f>
        <v>Töötaja 6</v>
      </c>
      <c r="C63" s="219" t="s">
        <v>3</v>
      </c>
      <c r="D63" s="173"/>
      <c r="E63" s="173"/>
      <c r="F63" s="173"/>
      <c r="G63" s="173"/>
      <c r="H63" s="173"/>
      <c r="I63" s="173"/>
      <c r="J63" s="173"/>
      <c r="K63" s="173"/>
      <c r="L63" s="173"/>
      <c r="M63" s="173"/>
      <c r="N63" s="173"/>
      <c r="O63" s="173"/>
      <c r="P63" s="173"/>
      <c r="Q63" s="173"/>
      <c r="R63" s="173"/>
      <c r="S63" s="188"/>
      <c r="T63" s="188"/>
      <c r="U63" s="189"/>
    </row>
    <row r="64" spans="1:21" x14ac:dyDescent="0.35">
      <c r="A64" s="802"/>
      <c r="B64" s="218" t="str">
        <f>'2. Tulud-kulud projektiga'!B64</f>
        <v>Töötaja 7</v>
      </c>
      <c r="C64" s="219" t="s">
        <v>3</v>
      </c>
      <c r="D64" s="173"/>
      <c r="E64" s="173"/>
      <c r="F64" s="173"/>
      <c r="G64" s="173"/>
      <c r="H64" s="173"/>
      <c r="I64" s="173"/>
      <c r="J64" s="173"/>
      <c r="K64" s="173"/>
      <c r="L64" s="173"/>
      <c r="M64" s="173"/>
      <c r="N64" s="173"/>
      <c r="O64" s="173"/>
      <c r="P64" s="173"/>
      <c r="Q64" s="173"/>
      <c r="R64" s="173"/>
      <c r="S64" s="188"/>
      <c r="T64" s="188"/>
      <c r="U64" s="189"/>
    </row>
    <row r="65" spans="1:21" x14ac:dyDescent="0.35">
      <c r="A65" s="802"/>
      <c r="B65" s="218" t="str">
        <f>'2. Tulud-kulud projektiga'!B65</f>
        <v>Töötaja 8</v>
      </c>
      <c r="C65" s="219" t="s">
        <v>3</v>
      </c>
      <c r="D65" s="173"/>
      <c r="E65" s="173"/>
      <c r="F65" s="173"/>
      <c r="G65" s="173"/>
      <c r="H65" s="173"/>
      <c r="I65" s="173"/>
      <c r="J65" s="173"/>
      <c r="K65" s="173"/>
      <c r="L65" s="173"/>
      <c r="M65" s="173"/>
      <c r="N65" s="173"/>
      <c r="O65" s="173"/>
      <c r="P65" s="173"/>
      <c r="Q65" s="173"/>
      <c r="R65" s="173"/>
      <c r="S65" s="188"/>
      <c r="T65" s="188"/>
      <c r="U65" s="189"/>
    </row>
    <row r="66" spans="1:21" x14ac:dyDescent="0.35">
      <c r="A66" s="802"/>
      <c r="B66" s="218" t="str">
        <f>'2. Tulud-kulud projektiga'!B66</f>
        <v>Töötaja 9</v>
      </c>
      <c r="C66" s="219" t="s">
        <v>3</v>
      </c>
      <c r="D66" s="173"/>
      <c r="E66" s="173"/>
      <c r="F66" s="173"/>
      <c r="G66" s="173"/>
      <c r="H66" s="173"/>
      <c r="I66" s="173"/>
      <c r="J66" s="173"/>
      <c r="K66" s="173"/>
      <c r="L66" s="173"/>
      <c r="M66" s="173"/>
      <c r="N66" s="173"/>
      <c r="O66" s="173"/>
      <c r="P66" s="173"/>
      <c r="Q66" s="173"/>
      <c r="R66" s="173"/>
      <c r="S66" s="188"/>
      <c r="T66" s="188"/>
      <c r="U66" s="189"/>
    </row>
    <row r="67" spans="1:21" x14ac:dyDescent="0.35">
      <c r="A67" s="802"/>
      <c r="B67" s="218" t="str">
        <f>'2. Tulud-kulud projektiga'!B67</f>
        <v>Töötaja 10</v>
      </c>
      <c r="C67" s="219"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802"/>
      <c r="B68" s="218" t="str">
        <f>'2. Tulud-kulud projektiga'!B68</f>
        <v>Töötaja 11</v>
      </c>
      <c r="C68" s="219"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802"/>
      <c r="B69" s="218" t="str">
        <f>'2. Tulud-kulud projektiga'!B69</f>
        <v>Töötaja 12</v>
      </c>
      <c r="C69" s="219"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802"/>
      <c r="B70" s="218" t="str">
        <f>'2. Tulud-kulud projektiga'!B70</f>
        <v>Töötaja 13</v>
      </c>
      <c r="C70" s="219"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802"/>
      <c r="B71" s="218" t="str">
        <f>'2. Tulud-kulud projektiga'!B71</f>
        <v>Töötaja 14</v>
      </c>
      <c r="C71" s="219"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802"/>
      <c r="B72" s="218" t="str">
        <f>'2. Tulud-kulud projektiga'!B72</f>
        <v>Töötaja 15</v>
      </c>
      <c r="C72" s="219"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802"/>
      <c r="B73" s="218" t="str">
        <f>'2. Tulud-kulud projektiga'!B73</f>
        <v>Töötaja 16</v>
      </c>
      <c r="C73" s="219"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802"/>
      <c r="B74" s="218" t="str">
        <f>'2. Tulud-kulud projektiga'!B74</f>
        <v>Töötaja 17</v>
      </c>
      <c r="C74" s="219"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802"/>
      <c r="B75" s="218" t="str">
        <f>'2. Tulud-kulud projektiga'!B75</f>
        <v>Töötaja 18</v>
      </c>
      <c r="C75" s="219"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802"/>
      <c r="B76" s="218" t="str">
        <f>'2. Tulud-kulud projektiga'!B76</f>
        <v>Töötaja 19</v>
      </c>
      <c r="C76" s="219"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802"/>
      <c r="B77" s="218" t="str">
        <f>'2. Tulud-kulud projektiga'!B77</f>
        <v>Töötaja 20</v>
      </c>
      <c r="C77" s="219"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802"/>
      <c r="B78" s="218" t="s">
        <v>24</v>
      </c>
      <c r="C78" s="219" t="s">
        <v>3</v>
      </c>
      <c r="D78" s="226">
        <f t="shared" ref="D78:R78" si="25">SUM(D58:D77)</f>
        <v>0</v>
      </c>
      <c r="E78" s="226">
        <f t="shared" si="25"/>
        <v>0</v>
      </c>
      <c r="F78" s="226">
        <f t="shared" si="25"/>
        <v>0</v>
      </c>
      <c r="G78" s="226">
        <f t="shared" si="25"/>
        <v>0</v>
      </c>
      <c r="H78" s="226">
        <f t="shared" si="25"/>
        <v>0</v>
      </c>
      <c r="I78" s="226">
        <f t="shared" si="25"/>
        <v>0</v>
      </c>
      <c r="J78" s="226">
        <f t="shared" si="25"/>
        <v>0</v>
      </c>
      <c r="K78" s="226">
        <f t="shared" si="25"/>
        <v>0</v>
      </c>
      <c r="L78" s="226">
        <f t="shared" si="25"/>
        <v>0</v>
      </c>
      <c r="M78" s="226">
        <f t="shared" si="25"/>
        <v>0</v>
      </c>
      <c r="N78" s="226">
        <f t="shared" si="25"/>
        <v>0</v>
      </c>
      <c r="O78" s="226">
        <f t="shared" si="25"/>
        <v>0</v>
      </c>
      <c r="P78" s="226">
        <f t="shared" si="25"/>
        <v>0</v>
      </c>
      <c r="Q78" s="226">
        <f t="shared" ref="Q78" si="26">SUM(Q58:Q77)</f>
        <v>0</v>
      </c>
      <c r="R78" s="226">
        <f t="shared" si="25"/>
        <v>0</v>
      </c>
      <c r="S78" s="188"/>
      <c r="T78" s="188"/>
      <c r="U78" s="189"/>
    </row>
    <row r="79" spans="1:21" x14ac:dyDescent="0.35">
      <c r="A79" s="802"/>
      <c r="B79" s="218" t="s">
        <v>23</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188"/>
      <c r="T79" s="188"/>
      <c r="U79" s="189"/>
    </row>
    <row r="80" spans="1:21" x14ac:dyDescent="0.35">
      <c r="A80" s="803" t="s">
        <v>25</v>
      </c>
      <c r="B80" s="804"/>
      <c r="C80" s="228"/>
      <c r="D80" s="229">
        <f t="shared" ref="D80:R80" si="27">SUM(D78:D79)</f>
        <v>0</v>
      </c>
      <c r="E80" s="229">
        <f t="shared" si="27"/>
        <v>0</v>
      </c>
      <c r="F80" s="229">
        <f t="shared" si="27"/>
        <v>0</v>
      </c>
      <c r="G80" s="229">
        <f t="shared" si="27"/>
        <v>0</v>
      </c>
      <c r="H80" s="229">
        <f t="shared" si="27"/>
        <v>0</v>
      </c>
      <c r="I80" s="229">
        <f t="shared" si="27"/>
        <v>0</v>
      </c>
      <c r="J80" s="229">
        <f t="shared" si="27"/>
        <v>0</v>
      </c>
      <c r="K80" s="229">
        <f t="shared" si="27"/>
        <v>0</v>
      </c>
      <c r="L80" s="229">
        <f t="shared" si="27"/>
        <v>0</v>
      </c>
      <c r="M80" s="229">
        <f t="shared" si="27"/>
        <v>0</v>
      </c>
      <c r="N80" s="229">
        <f t="shared" si="27"/>
        <v>0</v>
      </c>
      <c r="O80" s="229">
        <f t="shared" si="27"/>
        <v>0</v>
      </c>
      <c r="P80" s="229">
        <f t="shared" si="27"/>
        <v>0</v>
      </c>
      <c r="Q80" s="229">
        <f t="shared" ref="Q80" si="28">SUM(Q78:Q79)</f>
        <v>0</v>
      </c>
      <c r="R80" s="229">
        <f t="shared" si="27"/>
        <v>0</v>
      </c>
      <c r="S80" s="188"/>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1" x14ac:dyDescent="0.35">
      <c r="A82" s="802" t="str">
        <f>'2. Tulud-kulud projektiga'!A82:A91</f>
        <v>Halduskulud</v>
      </c>
      <c r="B82" s="218" t="str">
        <f>'2. Tulud-kulud projektiga'!B82</f>
        <v>Küte</v>
      </c>
      <c r="C82" s="219" t="s">
        <v>3</v>
      </c>
      <c r="D82" s="173"/>
      <c r="E82" s="173"/>
      <c r="F82" s="173"/>
      <c r="G82" s="173"/>
      <c r="H82" s="173"/>
      <c r="I82" s="173"/>
      <c r="J82" s="173"/>
      <c r="K82" s="173"/>
      <c r="L82" s="173"/>
      <c r="M82" s="173"/>
      <c r="N82" s="173"/>
      <c r="O82" s="173"/>
      <c r="P82" s="173"/>
      <c r="Q82" s="173"/>
      <c r="R82" s="173"/>
      <c r="S82" s="188"/>
      <c r="T82" s="188"/>
      <c r="U82" s="189"/>
    </row>
    <row r="83" spans="1:21" x14ac:dyDescent="0.35">
      <c r="A83" s="802"/>
      <c r="B83" s="218" t="str">
        <f>'2. Tulud-kulud projektiga'!B83</f>
        <v>Elekter</v>
      </c>
      <c r="C83" s="219" t="s">
        <v>3</v>
      </c>
      <c r="D83" s="173"/>
      <c r="E83" s="173"/>
      <c r="F83" s="173"/>
      <c r="G83" s="173"/>
      <c r="H83" s="173"/>
      <c r="I83" s="173"/>
      <c r="J83" s="173"/>
      <c r="K83" s="173"/>
      <c r="L83" s="173"/>
      <c r="M83" s="173"/>
      <c r="N83" s="173"/>
      <c r="O83" s="173"/>
      <c r="P83" s="173"/>
      <c r="Q83" s="173"/>
      <c r="R83" s="173"/>
      <c r="S83" s="188"/>
      <c r="T83" s="188"/>
      <c r="U83" s="189"/>
    </row>
    <row r="84" spans="1:21" x14ac:dyDescent="0.35">
      <c r="A84" s="802"/>
      <c r="B84" s="218" t="str">
        <f>'2. Tulud-kulud projektiga'!B84</f>
        <v>Vesi ja kanalisatsioon</v>
      </c>
      <c r="C84" s="219" t="s">
        <v>3</v>
      </c>
      <c r="D84" s="173"/>
      <c r="E84" s="173"/>
      <c r="F84" s="173"/>
      <c r="G84" s="173"/>
      <c r="H84" s="173"/>
      <c r="I84" s="173"/>
      <c r="J84" s="173"/>
      <c r="K84" s="173"/>
      <c r="L84" s="173"/>
      <c r="M84" s="173"/>
      <c r="N84" s="173"/>
      <c r="O84" s="173"/>
      <c r="P84" s="173"/>
      <c r="Q84" s="173"/>
      <c r="R84" s="173"/>
      <c r="S84" s="188"/>
      <c r="T84" s="188"/>
      <c r="U84" s="189"/>
    </row>
    <row r="85" spans="1:21" x14ac:dyDescent="0.35">
      <c r="A85" s="802"/>
      <c r="B85" s="218" t="str">
        <f>'2. Tulud-kulud projektiga'!B85</f>
        <v>Tehnohooldus</v>
      </c>
      <c r="C85" s="219" t="s">
        <v>3</v>
      </c>
      <c r="D85" s="173"/>
      <c r="E85" s="173"/>
      <c r="F85" s="173"/>
      <c r="G85" s="173"/>
      <c r="H85" s="173"/>
      <c r="I85" s="173"/>
      <c r="J85" s="173"/>
      <c r="K85" s="173"/>
      <c r="L85" s="173"/>
      <c r="M85" s="173"/>
      <c r="N85" s="173"/>
      <c r="O85" s="173"/>
      <c r="P85" s="173"/>
      <c r="Q85" s="173"/>
      <c r="R85" s="173"/>
      <c r="S85" s="188"/>
      <c r="T85" s="188"/>
      <c r="U85" s="189"/>
    </row>
    <row r="86" spans="1:21" x14ac:dyDescent="0.35">
      <c r="A86" s="802"/>
      <c r="B86" s="218" t="str">
        <f>'2. Tulud-kulud projektiga'!B86</f>
        <v>Hooldus (hooned)</v>
      </c>
      <c r="C86" s="219" t="s">
        <v>3</v>
      </c>
      <c r="D86" s="173"/>
      <c r="E86" s="173"/>
      <c r="F86" s="173"/>
      <c r="G86" s="173"/>
      <c r="H86" s="173"/>
      <c r="I86" s="173"/>
      <c r="J86" s="173"/>
      <c r="K86" s="173"/>
      <c r="L86" s="173"/>
      <c r="M86" s="173"/>
      <c r="N86" s="173"/>
      <c r="O86" s="173"/>
      <c r="P86" s="173"/>
      <c r="Q86" s="173"/>
      <c r="R86" s="173"/>
      <c r="S86" s="188"/>
      <c r="T86" s="188"/>
      <c r="U86" s="189"/>
    </row>
    <row r="87" spans="1:21" x14ac:dyDescent="0.35">
      <c r="A87" s="802"/>
      <c r="B87" s="218" t="str">
        <f>'2. Tulud-kulud projektiga'!B87</f>
        <v>Hooldus (territoorium)</v>
      </c>
      <c r="C87" s="219" t="s">
        <v>3</v>
      </c>
      <c r="D87" s="173"/>
      <c r="E87" s="173"/>
      <c r="F87" s="173"/>
      <c r="G87" s="173"/>
      <c r="H87" s="173"/>
      <c r="I87" s="173"/>
      <c r="J87" s="173"/>
      <c r="K87" s="173"/>
      <c r="L87" s="173"/>
      <c r="M87" s="173"/>
      <c r="N87" s="173"/>
      <c r="O87" s="173"/>
      <c r="P87" s="173"/>
      <c r="Q87" s="173"/>
      <c r="R87" s="173"/>
      <c r="S87" s="188"/>
      <c r="T87" s="188"/>
      <c r="U87" s="189"/>
    </row>
    <row r="88" spans="1:21" x14ac:dyDescent="0.35">
      <c r="A88" s="802"/>
      <c r="B88" s="218" t="str">
        <f>'2. Tulud-kulud projektiga'!B88</f>
        <v>Halduskulu 7</v>
      </c>
      <c r="C88" s="219" t="s">
        <v>3</v>
      </c>
      <c r="D88" s="173"/>
      <c r="E88" s="173"/>
      <c r="F88" s="173"/>
      <c r="G88" s="173"/>
      <c r="H88" s="173"/>
      <c r="I88" s="173"/>
      <c r="J88" s="173"/>
      <c r="K88" s="173"/>
      <c r="L88" s="173"/>
      <c r="M88" s="173"/>
      <c r="N88" s="173"/>
      <c r="O88" s="173"/>
      <c r="P88" s="173"/>
      <c r="Q88" s="173"/>
      <c r="R88" s="173"/>
      <c r="S88" s="188"/>
      <c r="T88" s="188"/>
      <c r="U88" s="189"/>
    </row>
    <row r="89" spans="1:21" x14ac:dyDescent="0.35">
      <c r="A89" s="802"/>
      <c r="B89" s="218" t="str">
        <f>'2. Tulud-kulud projektiga'!B89</f>
        <v>Halduskulu 8</v>
      </c>
      <c r="C89" s="219" t="s">
        <v>3</v>
      </c>
      <c r="D89" s="173"/>
      <c r="E89" s="173"/>
      <c r="F89" s="173"/>
      <c r="G89" s="173"/>
      <c r="H89" s="173"/>
      <c r="I89" s="173"/>
      <c r="J89" s="173"/>
      <c r="K89" s="173"/>
      <c r="L89" s="173"/>
      <c r="M89" s="173"/>
      <c r="N89" s="173"/>
      <c r="O89" s="173"/>
      <c r="P89" s="173"/>
      <c r="Q89" s="173"/>
      <c r="R89" s="173"/>
      <c r="S89" s="188"/>
      <c r="T89" s="188"/>
      <c r="U89" s="189"/>
    </row>
    <row r="90" spans="1:21" x14ac:dyDescent="0.35">
      <c r="A90" s="802"/>
      <c r="B90" s="218" t="str">
        <f>'2. Tulud-kulud projektiga'!B90</f>
        <v>Halduskulu 9</v>
      </c>
      <c r="C90" s="219" t="s">
        <v>3</v>
      </c>
      <c r="D90" s="173"/>
      <c r="E90" s="173"/>
      <c r="F90" s="173"/>
      <c r="G90" s="173"/>
      <c r="H90" s="173"/>
      <c r="I90" s="173"/>
      <c r="J90" s="173"/>
      <c r="K90" s="173"/>
      <c r="L90" s="173"/>
      <c r="M90" s="173"/>
      <c r="N90" s="173"/>
      <c r="O90" s="173"/>
      <c r="P90" s="173"/>
      <c r="Q90" s="173"/>
      <c r="R90" s="173"/>
      <c r="S90" s="188"/>
      <c r="T90" s="188"/>
      <c r="U90" s="189"/>
    </row>
    <row r="91" spans="1:21" x14ac:dyDescent="0.35">
      <c r="A91" s="802"/>
      <c r="B91" s="218" t="str">
        <f>'2. Tulud-kulud projektiga'!B91</f>
        <v>Halduskulu 10</v>
      </c>
      <c r="C91" s="219" t="s">
        <v>3</v>
      </c>
      <c r="D91" s="173"/>
      <c r="E91" s="173"/>
      <c r="F91" s="173"/>
      <c r="G91" s="173"/>
      <c r="H91" s="173"/>
      <c r="I91" s="173"/>
      <c r="J91" s="173"/>
      <c r="K91" s="173"/>
      <c r="L91" s="173"/>
      <c r="M91" s="173"/>
      <c r="N91" s="173"/>
      <c r="O91" s="173"/>
      <c r="P91" s="173"/>
      <c r="Q91" s="173"/>
      <c r="R91" s="173"/>
      <c r="S91" s="188"/>
      <c r="T91" s="188"/>
      <c r="U91" s="189"/>
    </row>
    <row r="92" spans="1:21" x14ac:dyDescent="0.35">
      <c r="A92" s="803" t="str">
        <f>'2. Tulud-kulud projektiga'!A92:B92</f>
        <v>Halduskulud kokku</v>
      </c>
      <c r="B92" s="804"/>
      <c r="C92" s="228"/>
      <c r="D92" s="229">
        <f t="shared" ref="D92:R92" si="29">SUM(D82:D91)</f>
        <v>0</v>
      </c>
      <c r="E92" s="229">
        <f t="shared" si="29"/>
        <v>0</v>
      </c>
      <c r="F92" s="229">
        <f t="shared" si="29"/>
        <v>0</v>
      </c>
      <c r="G92" s="229">
        <f t="shared" si="29"/>
        <v>0</v>
      </c>
      <c r="H92" s="229">
        <f t="shared" si="29"/>
        <v>0</v>
      </c>
      <c r="I92" s="229">
        <f t="shared" si="29"/>
        <v>0</v>
      </c>
      <c r="J92" s="229">
        <f t="shared" si="29"/>
        <v>0</v>
      </c>
      <c r="K92" s="229">
        <f t="shared" si="29"/>
        <v>0</v>
      </c>
      <c r="L92" s="229">
        <f t="shared" si="29"/>
        <v>0</v>
      </c>
      <c r="M92" s="229">
        <f t="shared" si="29"/>
        <v>0</v>
      </c>
      <c r="N92" s="229">
        <f t="shared" si="29"/>
        <v>0</v>
      </c>
      <c r="O92" s="229">
        <f t="shared" si="29"/>
        <v>0</v>
      </c>
      <c r="P92" s="229">
        <f t="shared" si="29"/>
        <v>0</v>
      </c>
      <c r="Q92" s="229">
        <f t="shared" si="29"/>
        <v>0</v>
      </c>
      <c r="R92" s="229">
        <f t="shared" si="29"/>
        <v>0</v>
      </c>
      <c r="S92" s="188"/>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1" x14ac:dyDescent="0.35">
      <c r="A94" s="810" t="str">
        <f>'2. Tulud-kulud projektiga'!A94:A103</f>
        <v>Turunduskulud</v>
      </c>
      <c r="B94" s="218" t="str">
        <f>'2. Tulud-kulud projektiga'!B94</f>
        <v>Turundus</v>
      </c>
      <c r="C94" s="219" t="s">
        <v>3</v>
      </c>
      <c r="D94" s="173"/>
      <c r="E94" s="173"/>
      <c r="F94" s="173"/>
      <c r="G94" s="173"/>
      <c r="H94" s="173"/>
      <c r="I94" s="173"/>
      <c r="J94" s="173"/>
      <c r="K94" s="173"/>
      <c r="L94" s="173"/>
      <c r="M94" s="173"/>
      <c r="N94" s="173"/>
      <c r="O94" s="173"/>
      <c r="P94" s="173"/>
      <c r="Q94" s="173"/>
      <c r="R94" s="173"/>
      <c r="S94" s="188"/>
      <c r="T94" s="188"/>
      <c r="U94" s="189"/>
    </row>
    <row r="95" spans="1:21" x14ac:dyDescent="0.35">
      <c r="A95" s="811"/>
      <c r="B95" s="218">
        <f>'2. Tulud-kulud projektiga'!B95</f>
        <v>0</v>
      </c>
      <c r="C95" s="219" t="s">
        <v>3</v>
      </c>
      <c r="D95" s="173"/>
      <c r="E95" s="173"/>
      <c r="F95" s="173"/>
      <c r="G95" s="173"/>
      <c r="H95" s="173"/>
      <c r="I95" s="173"/>
      <c r="J95" s="173"/>
      <c r="K95" s="173"/>
      <c r="L95" s="173"/>
      <c r="M95" s="173"/>
      <c r="N95" s="173"/>
      <c r="O95" s="173"/>
      <c r="P95" s="173"/>
      <c r="Q95" s="173"/>
      <c r="R95" s="173"/>
      <c r="S95" s="188"/>
      <c r="T95" s="188"/>
      <c r="U95" s="189"/>
    </row>
    <row r="96" spans="1:21" x14ac:dyDescent="0.35">
      <c r="A96" s="811"/>
      <c r="B96" s="218">
        <f>'2. Tulud-kulud projektiga'!B96</f>
        <v>0</v>
      </c>
      <c r="C96" s="219" t="s">
        <v>3</v>
      </c>
      <c r="D96" s="173"/>
      <c r="E96" s="173"/>
      <c r="F96" s="173"/>
      <c r="G96" s="173"/>
      <c r="H96" s="173"/>
      <c r="I96" s="173"/>
      <c r="J96" s="173"/>
      <c r="K96" s="173"/>
      <c r="L96" s="173"/>
      <c r="M96" s="173"/>
      <c r="N96" s="173"/>
      <c r="O96" s="173"/>
      <c r="P96" s="173"/>
      <c r="Q96" s="173"/>
      <c r="R96" s="173"/>
      <c r="S96" s="188"/>
      <c r="T96" s="188"/>
      <c r="U96" s="189"/>
    </row>
    <row r="97" spans="1:21" x14ac:dyDescent="0.35">
      <c r="A97" s="811"/>
      <c r="B97" s="218">
        <f>'2. Tulud-kulud projektiga'!B97</f>
        <v>0</v>
      </c>
      <c r="C97" s="219" t="s">
        <v>3</v>
      </c>
      <c r="D97" s="173"/>
      <c r="E97" s="173"/>
      <c r="F97" s="173"/>
      <c r="G97" s="173"/>
      <c r="H97" s="173"/>
      <c r="I97" s="173"/>
      <c r="J97" s="173"/>
      <c r="K97" s="173"/>
      <c r="L97" s="173"/>
      <c r="M97" s="173"/>
      <c r="N97" s="173"/>
      <c r="O97" s="173"/>
      <c r="P97" s="173"/>
      <c r="Q97" s="173"/>
      <c r="R97" s="173"/>
      <c r="S97" s="188"/>
      <c r="T97" s="188"/>
      <c r="U97" s="189"/>
    </row>
    <row r="98" spans="1:21" x14ac:dyDescent="0.35">
      <c r="A98" s="811"/>
      <c r="B98" s="218">
        <f>'2. Tulud-kulud projektiga'!B98</f>
        <v>0</v>
      </c>
      <c r="C98" s="219" t="s">
        <v>3</v>
      </c>
      <c r="D98" s="173"/>
      <c r="E98" s="173"/>
      <c r="F98" s="173"/>
      <c r="G98" s="173"/>
      <c r="H98" s="173"/>
      <c r="I98" s="173"/>
      <c r="J98" s="173"/>
      <c r="K98" s="173"/>
      <c r="L98" s="173"/>
      <c r="M98" s="173"/>
      <c r="N98" s="173"/>
      <c r="O98" s="173"/>
      <c r="P98" s="173"/>
      <c r="Q98" s="173"/>
      <c r="R98" s="173"/>
      <c r="S98" s="188"/>
      <c r="T98" s="188"/>
      <c r="U98" s="189"/>
    </row>
    <row r="99" spans="1:21" hidden="1" outlineLevel="1" x14ac:dyDescent="0.35">
      <c r="A99" s="811"/>
      <c r="B99" s="218" t="str">
        <f>'2. Tulud-kulud projektiga'!B99</f>
        <v>Kulu 6</v>
      </c>
      <c r="C99" s="219"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811"/>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811"/>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811"/>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812"/>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803" t="str">
        <f>'2. Tulud-kulud projektiga'!A104:B104</f>
        <v>Turunduskulud kokku</v>
      </c>
      <c r="B104" s="804"/>
      <c r="C104" s="228"/>
      <c r="D104" s="229">
        <f t="shared" ref="D104:R104" si="30">SUM(D94:D103)</f>
        <v>0</v>
      </c>
      <c r="E104" s="229">
        <f t="shared" si="30"/>
        <v>0</v>
      </c>
      <c r="F104" s="229">
        <f t="shared" si="30"/>
        <v>0</v>
      </c>
      <c r="G104" s="229">
        <f t="shared" si="30"/>
        <v>0</v>
      </c>
      <c r="H104" s="229">
        <f t="shared" si="30"/>
        <v>0</v>
      </c>
      <c r="I104" s="229">
        <f t="shared" si="30"/>
        <v>0</v>
      </c>
      <c r="J104" s="229">
        <f t="shared" si="30"/>
        <v>0</v>
      </c>
      <c r="K104" s="229">
        <f t="shared" si="30"/>
        <v>0</v>
      </c>
      <c r="L104" s="229">
        <f t="shared" si="30"/>
        <v>0</v>
      </c>
      <c r="M104" s="229">
        <f t="shared" si="30"/>
        <v>0</v>
      </c>
      <c r="N104" s="229">
        <f t="shared" si="30"/>
        <v>0</v>
      </c>
      <c r="O104" s="229">
        <f t="shared" si="30"/>
        <v>0</v>
      </c>
      <c r="P104" s="229">
        <f t="shared" si="30"/>
        <v>0</v>
      </c>
      <c r="Q104" s="229">
        <f t="shared" si="30"/>
        <v>0</v>
      </c>
      <c r="R104" s="229">
        <f t="shared" si="30"/>
        <v>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809" t="str">
        <f>'2. Tulud-kulud projektiga'!A106:B106</f>
        <v>Remonditööd</v>
      </c>
      <c r="B106" s="809"/>
      <c r="C106" s="219" t="s">
        <v>3</v>
      </c>
      <c r="D106" s="173"/>
      <c r="E106" s="173"/>
      <c r="F106" s="173"/>
      <c r="G106" s="173"/>
      <c r="H106" s="173"/>
      <c r="I106" s="173"/>
      <c r="J106" s="173"/>
      <c r="K106" s="173"/>
      <c r="L106" s="173"/>
      <c r="M106" s="173"/>
      <c r="N106" s="173"/>
      <c r="O106" s="173"/>
      <c r="P106" s="173"/>
      <c r="Q106" s="173"/>
      <c r="R106" s="173"/>
      <c r="S106" s="188"/>
      <c r="T106" s="188"/>
      <c r="U106" s="189"/>
    </row>
    <row r="107" spans="1:21" ht="16.5" customHeight="1" x14ac:dyDescent="0.35">
      <c r="A107" s="809" t="str">
        <f>'2. Tulud-kulud projektiga'!A107:B107</f>
        <v>Valve</v>
      </c>
      <c r="B107" s="809"/>
      <c r="C107" s="219" t="s">
        <v>3</v>
      </c>
      <c r="D107" s="173"/>
      <c r="E107" s="173"/>
      <c r="F107" s="173"/>
      <c r="G107" s="173"/>
      <c r="H107" s="173"/>
      <c r="I107" s="173"/>
      <c r="J107" s="173"/>
      <c r="K107" s="173"/>
      <c r="L107" s="173"/>
      <c r="M107" s="173"/>
      <c r="N107" s="173"/>
      <c r="O107" s="173"/>
      <c r="P107" s="173"/>
      <c r="Q107" s="173"/>
      <c r="R107" s="173"/>
      <c r="S107" s="188"/>
      <c r="T107" s="188"/>
      <c r="U107" s="189"/>
    </row>
    <row r="108" spans="1:21" ht="16.5" customHeight="1" x14ac:dyDescent="0.35">
      <c r="A108" s="809" t="str">
        <f>'2. Tulud-kulud projektiga'!A108:B108</f>
        <v>Kindlustus</v>
      </c>
      <c r="B108" s="809"/>
      <c r="C108" s="219" t="s">
        <v>3</v>
      </c>
      <c r="D108" s="173"/>
      <c r="E108" s="173"/>
      <c r="F108" s="173"/>
      <c r="G108" s="173"/>
      <c r="H108" s="173"/>
      <c r="I108" s="173"/>
      <c r="J108" s="173"/>
      <c r="K108" s="173"/>
      <c r="L108" s="173"/>
      <c r="M108" s="173"/>
      <c r="N108" s="173"/>
      <c r="O108" s="173"/>
      <c r="P108" s="173"/>
      <c r="Q108" s="173"/>
      <c r="R108" s="173"/>
      <c r="S108" s="188"/>
      <c r="T108" s="188"/>
      <c r="U108" s="189"/>
    </row>
    <row r="109" spans="1:21" ht="16.5" customHeight="1" x14ac:dyDescent="0.35">
      <c r="A109" s="809" t="str">
        <f>'2. Tulud-kulud projektiga'!A109:B109</f>
        <v>Muu</v>
      </c>
      <c r="B109" s="809"/>
      <c r="C109" s="219" t="s">
        <v>3</v>
      </c>
      <c r="D109" s="173"/>
      <c r="E109" s="173"/>
      <c r="F109" s="173"/>
      <c r="G109" s="173"/>
      <c r="H109" s="173"/>
      <c r="I109" s="173"/>
      <c r="J109" s="173"/>
      <c r="K109" s="173"/>
      <c r="L109" s="173"/>
      <c r="M109" s="173"/>
      <c r="N109" s="173"/>
      <c r="O109" s="173"/>
      <c r="P109" s="173"/>
      <c r="Q109" s="173"/>
      <c r="R109" s="173"/>
      <c r="S109" s="188"/>
      <c r="T109" s="188"/>
      <c r="U109" s="189"/>
    </row>
    <row r="110" spans="1:21" ht="16.5" customHeight="1" x14ac:dyDescent="0.35">
      <c r="A110" s="809" t="str">
        <f>'2. Tulud-kulud projektiga'!A110:B110</f>
        <v>Muu kulu 5</v>
      </c>
      <c r="B110" s="809"/>
      <c r="C110" s="219" t="s">
        <v>3</v>
      </c>
      <c r="D110" s="173"/>
      <c r="E110" s="173"/>
      <c r="F110" s="173"/>
      <c r="G110" s="173"/>
      <c r="H110" s="173"/>
      <c r="I110" s="173"/>
      <c r="J110" s="173"/>
      <c r="K110" s="173"/>
      <c r="L110" s="173"/>
      <c r="M110" s="173"/>
      <c r="N110" s="173"/>
      <c r="O110" s="173"/>
      <c r="P110" s="173"/>
      <c r="Q110" s="173"/>
      <c r="R110" s="173"/>
      <c r="S110" s="188"/>
      <c r="T110" s="188"/>
      <c r="U110" s="189"/>
    </row>
    <row r="111" spans="1:21" ht="16.5" hidden="1" customHeight="1" outlineLevel="1" x14ac:dyDescent="0.35">
      <c r="A111" s="809">
        <f>'2. Tulud-kulud projektiga'!A111:B111</f>
        <v>0</v>
      </c>
      <c r="B111" s="809"/>
      <c r="C111" s="219" t="s">
        <v>3</v>
      </c>
      <c r="D111" s="173"/>
      <c r="E111" s="173"/>
      <c r="F111" s="173"/>
      <c r="G111" s="173"/>
      <c r="H111" s="173"/>
      <c r="I111" s="173"/>
      <c r="J111" s="173"/>
      <c r="K111" s="173"/>
      <c r="L111" s="173"/>
      <c r="M111" s="173"/>
      <c r="N111" s="173"/>
      <c r="O111" s="173"/>
      <c r="P111" s="173"/>
      <c r="Q111" s="173"/>
      <c r="R111" s="173"/>
      <c r="S111" s="188"/>
      <c r="T111" s="188"/>
      <c r="U111" s="189"/>
    </row>
    <row r="112" spans="1:21" ht="16.5" hidden="1" customHeight="1" outlineLevel="1" x14ac:dyDescent="0.35">
      <c r="A112" s="809" t="str">
        <f>'2. Tulud-kulud projektiga'!A112:B112</f>
        <v>Asendusinvesteeringud</v>
      </c>
      <c r="B112" s="809"/>
      <c r="C112" s="219" t="s">
        <v>3</v>
      </c>
      <c r="D112" s="173"/>
      <c r="E112" s="173"/>
      <c r="F112" s="173"/>
      <c r="G112" s="173"/>
      <c r="H112" s="173"/>
      <c r="I112" s="173"/>
      <c r="J112" s="173"/>
      <c r="K112" s="173"/>
      <c r="L112" s="173"/>
      <c r="M112" s="173"/>
      <c r="N112" s="173"/>
      <c r="O112" s="173"/>
      <c r="P112" s="173"/>
      <c r="Q112" s="173"/>
      <c r="R112" s="173"/>
      <c r="S112" s="188"/>
      <c r="T112" s="188"/>
      <c r="U112" s="189"/>
    </row>
    <row r="113" spans="1:21" ht="16.5" hidden="1" customHeight="1" outlineLevel="1" x14ac:dyDescent="0.35">
      <c r="A113" s="809" t="str">
        <f>'2. Tulud-kulud projektiga'!A113:B113</f>
        <v>Muu kulu 8</v>
      </c>
      <c r="B113" s="809"/>
      <c r="C113" s="219"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809" t="str">
        <f>'2. Tulud-kulud projektiga'!A114:B114</f>
        <v>Muu kulu 9</v>
      </c>
      <c r="B114" s="809"/>
      <c r="C114" s="219"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809" t="str">
        <f>'2. Tulud-kulud projektiga'!A115:B115</f>
        <v>Muu kulu 10</v>
      </c>
      <c r="B115" s="809"/>
      <c r="C115" s="219"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803" t="str">
        <f>'2. Tulud-kulud projektiga'!A116:B116</f>
        <v>Muud kulud kokku</v>
      </c>
      <c r="B116" s="804"/>
      <c r="C116" s="224" t="s">
        <v>3</v>
      </c>
      <c r="D116" s="229">
        <f t="shared" ref="D116:R116" si="31">SUM(D106:D115)</f>
        <v>0</v>
      </c>
      <c r="E116" s="229">
        <f t="shared" si="31"/>
        <v>0</v>
      </c>
      <c r="F116" s="229">
        <f t="shared" si="31"/>
        <v>0</v>
      </c>
      <c r="G116" s="229">
        <f t="shared" si="31"/>
        <v>0</v>
      </c>
      <c r="H116" s="229">
        <f t="shared" si="31"/>
        <v>0</v>
      </c>
      <c r="I116" s="229">
        <f t="shared" si="31"/>
        <v>0</v>
      </c>
      <c r="J116" s="229">
        <f t="shared" si="31"/>
        <v>0</v>
      </c>
      <c r="K116" s="229">
        <f t="shared" si="31"/>
        <v>0</v>
      </c>
      <c r="L116" s="229">
        <f t="shared" si="31"/>
        <v>0</v>
      </c>
      <c r="M116" s="229">
        <f t="shared" si="31"/>
        <v>0</v>
      </c>
      <c r="N116" s="229">
        <f t="shared" si="31"/>
        <v>0</v>
      </c>
      <c r="O116" s="229">
        <f t="shared" si="31"/>
        <v>0</v>
      </c>
      <c r="P116" s="229">
        <f t="shared" si="31"/>
        <v>0</v>
      </c>
      <c r="Q116" s="229">
        <f t="shared" ref="Q116" si="32">SUM(Q106:Q115)</f>
        <v>0</v>
      </c>
      <c r="R116" s="229">
        <f t="shared" si="31"/>
        <v>0</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19.5" customHeight="1" x14ac:dyDescent="0.35">
      <c r="A118" s="813" t="s">
        <v>36</v>
      </c>
      <c r="B118" s="814"/>
      <c r="C118" s="230" t="s">
        <v>3</v>
      </c>
      <c r="D118" s="225">
        <f t="shared" ref="D118:R118" si="33">D80+D92+D104+D116</f>
        <v>0</v>
      </c>
      <c r="E118" s="225">
        <f t="shared" si="33"/>
        <v>0</v>
      </c>
      <c r="F118" s="225">
        <f t="shared" si="33"/>
        <v>0</v>
      </c>
      <c r="G118" s="225">
        <f t="shared" si="33"/>
        <v>0</v>
      </c>
      <c r="H118" s="225">
        <f t="shared" si="33"/>
        <v>0</v>
      </c>
      <c r="I118" s="225">
        <f t="shared" si="33"/>
        <v>0</v>
      </c>
      <c r="J118" s="225">
        <f t="shared" si="33"/>
        <v>0</v>
      </c>
      <c r="K118" s="225">
        <f t="shared" si="33"/>
        <v>0</v>
      </c>
      <c r="L118" s="225">
        <f t="shared" si="33"/>
        <v>0</v>
      </c>
      <c r="M118" s="225">
        <f t="shared" si="33"/>
        <v>0</v>
      </c>
      <c r="N118" s="225">
        <f t="shared" si="33"/>
        <v>0</v>
      </c>
      <c r="O118" s="225">
        <f t="shared" si="33"/>
        <v>0</v>
      </c>
      <c r="P118" s="225">
        <f t="shared" si="33"/>
        <v>0</v>
      </c>
      <c r="Q118" s="225">
        <f t="shared" ref="Q118" si="34">Q80+Q92+Q104+Q116</f>
        <v>0</v>
      </c>
      <c r="R118" s="225">
        <f t="shared" si="33"/>
        <v>0</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98" t="s">
        <v>37</v>
      </c>
      <c r="B121" s="799"/>
      <c r="C121" s="205" t="s">
        <v>3</v>
      </c>
      <c r="D121" s="206">
        <f t="shared" ref="D121:R121" si="35">D53-D118</f>
        <v>0</v>
      </c>
      <c r="E121" s="206">
        <f t="shared" si="35"/>
        <v>0</v>
      </c>
      <c r="F121" s="206">
        <f t="shared" si="35"/>
        <v>0</v>
      </c>
      <c r="G121" s="206">
        <f t="shared" si="35"/>
        <v>0</v>
      </c>
      <c r="H121" s="206">
        <f t="shared" si="35"/>
        <v>0</v>
      </c>
      <c r="I121" s="206">
        <f t="shared" si="35"/>
        <v>0</v>
      </c>
      <c r="J121" s="206">
        <f t="shared" si="35"/>
        <v>0</v>
      </c>
      <c r="K121" s="206">
        <f t="shared" si="35"/>
        <v>0</v>
      </c>
      <c r="L121" s="206">
        <f t="shared" si="35"/>
        <v>0</v>
      </c>
      <c r="M121" s="206">
        <f t="shared" si="35"/>
        <v>0</v>
      </c>
      <c r="N121" s="206">
        <f t="shared" si="35"/>
        <v>0</v>
      </c>
      <c r="O121" s="206">
        <f t="shared" si="35"/>
        <v>0</v>
      </c>
      <c r="P121" s="206">
        <f t="shared" si="35"/>
        <v>0</v>
      </c>
      <c r="Q121" s="206">
        <f t="shared" ref="Q121" si="36">Q53-Q118</f>
        <v>0</v>
      </c>
      <c r="R121" s="206">
        <f t="shared" si="35"/>
        <v>0</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798" t="s">
        <v>178</v>
      </c>
      <c r="B124" s="799"/>
      <c r="C124" s="205" t="s">
        <v>3</v>
      </c>
      <c r="D124" s="206">
        <f>D121</f>
        <v>0</v>
      </c>
      <c r="E124" s="206">
        <f>D124+E121</f>
        <v>0</v>
      </c>
      <c r="F124" s="206">
        <f t="shared" ref="F124:P124" si="37">E124+F121</f>
        <v>0</v>
      </c>
      <c r="G124" s="206">
        <f t="shared" si="37"/>
        <v>0</v>
      </c>
      <c r="H124" s="206">
        <f t="shared" si="37"/>
        <v>0</v>
      </c>
      <c r="I124" s="206">
        <f t="shared" si="37"/>
        <v>0</v>
      </c>
      <c r="J124" s="206">
        <f t="shared" si="37"/>
        <v>0</v>
      </c>
      <c r="K124" s="206">
        <f t="shared" si="37"/>
        <v>0</v>
      </c>
      <c r="L124" s="206">
        <f t="shared" si="37"/>
        <v>0</v>
      </c>
      <c r="M124" s="206">
        <f t="shared" si="37"/>
        <v>0</v>
      </c>
      <c r="N124" s="206">
        <f t="shared" si="37"/>
        <v>0</v>
      </c>
      <c r="O124" s="206">
        <f t="shared" si="37"/>
        <v>0</v>
      </c>
      <c r="P124" s="206">
        <f t="shared" si="37"/>
        <v>0</v>
      </c>
      <c r="Q124" s="206">
        <f t="shared" ref="Q124" si="38">P124+Q121</f>
        <v>0</v>
      </c>
      <c r="R124" s="206">
        <f t="shared" ref="R124" si="39">Q124+R121</f>
        <v>0</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workbookViewId="0">
      <selection activeCell="B12" sqref="B12"/>
    </sheetView>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77</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66</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817" t="str">
        <f>'2. Tulud-kulud projektiga'!A7:A9</f>
        <v>Üüritulud.  1 korrus. Väike stuudio (2) koos abiruumidega</v>
      </c>
      <c r="B7" s="50" t="str">
        <f>'2. Tulud-kulud projektiga'!B7</f>
        <v>Kuu</v>
      </c>
      <c r="C7" s="51" t="str">
        <f>'2. Tulud-kulud projektiga'!C7</f>
        <v>päev</v>
      </c>
      <c r="D7" s="11">
        <f>'2. Tulud-kulud projektiga'!D7-'3. Tulud-kulud projektita'!D7</f>
        <v>0</v>
      </c>
      <c r="E7" s="11">
        <f>'2. Tulud-kulud projektiga'!E7-'3. Tulud-kulud projektita'!E7</f>
        <v>0</v>
      </c>
      <c r="F7" s="11">
        <f>'2. Tulud-kulud projektiga'!F7-'3. Tulud-kulud projektita'!F7</f>
        <v>21</v>
      </c>
      <c r="G7" s="11">
        <f>'2. Tulud-kulud projektiga'!G7-'3. Tulud-kulud projektita'!G7</f>
        <v>63</v>
      </c>
      <c r="H7" s="11">
        <f>'2. Tulud-kulud projektiga'!H7-'3. Tulud-kulud projektita'!H7</f>
        <v>63</v>
      </c>
      <c r="I7" s="11">
        <f>'2. Tulud-kulud projektiga'!I7-'3. Tulud-kulud projektita'!I7</f>
        <v>126</v>
      </c>
      <c r="J7" s="11">
        <f>'2. Tulud-kulud projektiga'!J7-'3. Tulud-kulud projektita'!J7</f>
        <v>126</v>
      </c>
      <c r="K7" s="11">
        <f>'2. Tulud-kulud projektiga'!K7-'3. Tulud-kulud projektita'!K7</f>
        <v>126</v>
      </c>
      <c r="L7" s="11">
        <f>'2. Tulud-kulud projektiga'!L7-'3. Tulud-kulud projektita'!L7</f>
        <v>126</v>
      </c>
      <c r="M7" s="11">
        <f>'2. Tulud-kulud projektiga'!M7-'3. Tulud-kulud projektita'!M7</f>
        <v>189</v>
      </c>
      <c r="N7" s="11">
        <f>'2. Tulud-kulud projektiga'!N7-'3. Tulud-kulud projektita'!N7</f>
        <v>189</v>
      </c>
      <c r="O7" s="11">
        <f>'2. Tulud-kulud projektiga'!O7-'3. Tulud-kulud projektita'!O7</f>
        <v>189</v>
      </c>
      <c r="P7" s="11">
        <f>'2. Tulud-kulud projektiga'!P7-'3. Tulud-kulud projektita'!P7</f>
        <v>189</v>
      </c>
      <c r="Q7" s="11">
        <f>'2. Tulud-kulud projektiga'!Q7-'3. Tulud-kulud projektita'!Q7</f>
        <v>189</v>
      </c>
      <c r="R7" s="11">
        <f>'2. Tulud-kulud projektiga'!R7-'3. Tulud-kulud projektita'!R7</f>
        <v>189</v>
      </c>
      <c r="S7" s="7"/>
      <c r="T7" s="7"/>
    </row>
    <row r="8" spans="1:20" ht="15.75" customHeight="1" x14ac:dyDescent="0.35">
      <c r="A8" s="817"/>
      <c r="B8" s="50" t="s">
        <v>0</v>
      </c>
      <c r="C8" s="51" t="s">
        <v>3</v>
      </c>
      <c r="D8" s="11">
        <f>'2. Tulud-kulud projektiga'!D8-'3. Tulud-kulud projektita'!D8</f>
        <v>0</v>
      </c>
      <c r="E8" s="11">
        <f>'2. Tulud-kulud projektiga'!E8-'3. Tulud-kulud projektita'!E8</f>
        <v>0</v>
      </c>
      <c r="F8" s="11">
        <f>'2. Tulud-kulud projektiga'!F8-'3. Tulud-kulud projektita'!F8</f>
        <v>500</v>
      </c>
      <c r="G8" s="11">
        <f>'2. Tulud-kulud projektiga'!G8-'3. Tulud-kulud projektita'!G8</f>
        <v>500</v>
      </c>
      <c r="H8" s="11">
        <f>'2. Tulud-kulud projektiga'!H8-'3. Tulud-kulud projektita'!H8</f>
        <v>500</v>
      </c>
      <c r="I8" s="11">
        <f>'2. Tulud-kulud projektiga'!I8-'3. Tulud-kulud projektita'!I8</f>
        <v>500</v>
      </c>
      <c r="J8" s="11">
        <f>'2. Tulud-kulud projektiga'!J8-'3. Tulud-kulud projektita'!J8</f>
        <v>500</v>
      </c>
      <c r="K8" s="11">
        <f>'2. Tulud-kulud projektiga'!K8-'3. Tulud-kulud projektita'!K8</f>
        <v>500</v>
      </c>
      <c r="L8" s="11">
        <f>'2. Tulud-kulud projektiga'!L8-'3. Tulud-kulud projektita'!L8</f>
        <v>500</v>
      </c>
      <c r="M8" s="11">
        <f>'2. Tulud-kulud projektiga'!M8-'3. Tulud-kulud projektita'!M8</f>
        <v>500</v>
      </c>
      <c r="N8" s="11">
        <f>'2. Tulud-kulud projektiga'!N8-'3. Tulud-kulud projektita'!N8</f>
        <v>500</v>
      </c>
      <c r="O8" s="11">
        <f>'2. Tulud-kulud projektiga'!O8-'3. Tulud-kulud projektita'!O8</f>
        <v>500</v>
      </c>
      <c r="P8" s="11">
        <f>'2. Tulud-kulud projektiga'!P8-'3. Tulud-kulud projektita'!P8</f>
        <v>500</v>
      </c>
      <c r="Q8" s="11">
        <f>'2. Tulud-kulud projektiga'!Q8-'3. Tulud-kulud projektita'!Q8</f>
        <v>500</v>
      </c>
      <c r="R8" s="11">
        <f>'2. Tulud-kulud projektiga'!R8-'3. Tulud-kulud projektita'!R8</f>
        <v>500</v>
      </c>
      <c r="S8" s="7"/>
      <c r="T8" s="7"/>
    </row>
    <row r="9" spans="1:20" ht="15.75" customHeight="1" x14ac:dyDescent="0.35">
      <c r="A9" s="817"/>
      <c r="B9" s="52" t="s">
        <v>1</v>
      </c>
      <c r="C9" s="53" t="s">
        <v>3</v>
      </c>
      <c r="D9" s="54">
        <f>'2. Tulud-kulud projektiga'!D9-'3. Tulud-kulud projektita'!D9</f>
        <v>0</v>
      </c>
      <c r="E9" s="54">
        <f>'2. Tulud-kulud projektiga'!E9-'3. Tulud-kulud projektita'!E9</f>
        <v>0</v>
      </c>
      <c r="F9" s="54">
        <f>'2. Tulud-kulud projektiga'!F9-'3. Tulud-kulud projektita'!F9</f>
        <v>10500</v>
      </c>
      <c r="G9" s="54">
        <f>'2. Tulud-kulud projektiga'!G9-'3. Tulud-kulud projektita'!G9</f>
        <v>31500</v>
      </c>
      <c r="H9" s="54">
        <f>'2. Tulud-kulud projektiga'!H9-'3. Tulud-kulud projektita'!H9</f>
        <v>31500</v>
      </c>
      <c r="I9" s="54">
        <f>'2. Tulud-kulud projektiga'!I9-'3. Tulud-kulud projektita'!I9</f>
        <v>63000</v>
      </c>
      <c r="J9" s="54">
        <f>'2. Tulud-kulud projektiga'!J9-'3. Tulud-kulud projektita'!J9</f>
        <v>63000</v>
      </c>
      <c r="K9" s="54">
        <f>'2. Tulud-kulud projektiga'!K9-'3. Tulud-kulud projektita'!K9</f>
        <v>63000</v>
      </c>
      <c r="L9" s="54">
        <f>'2. Tulud-kulud projektiga'!L9-'3. Tulud-kulud projektita'!L9</f>
        <v>63000</v>
      </c>
      <c r="M9" s="54">
        <f>'2. Tulud-kulud projektiga'!M9-'3. Tulud-kulud projektita'!M9</f>
        <v>94500</v>
      </c>
      <c r="N9" s="54">
        <f>'2. Tulud-kulud projektiga'!N9-'3. Tulud-kulud projektita'!N9</f>
        <v>94500</v>
      </c>
      <c r="O9" s="54">
        <f>'2. Tulud-kulud projektiga'!O9-'3. Tulud-kulud projektita'!O9</f>
        <v>94500</v>
      </c>
      <c r="P9" s="54">
        <f>'2. Tulud-kulud projektiga'!P9-'3. Tulud-kulud projektita'!P9</f>
        <v>94500</v>
      </c>
      <c r="Q9" s="54">
        <f>'2. Tulud-kulud projektiga'!Q9-'3. Tulud-kulud projektita'!Q9</f>
        <v>94500</v>
      </c>
      <c r="R9" s="54">
        <f>'2. Tulud-kulud projektiga'!R9-'3. Tulud-kulud projektita'!R9</f>
        <v>94500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817" t="str">
        <f>'2. Tulud-kulud projektiga'!A11:A13</f>
        <v>Üüritulud.  1 korrus. Suur stuudio (1) koos abiruumidega</v>
      </c>
      <c r="B11" s="50" t="str">
        <f>'2. Tulud-kulud projektiga'!B11</f>
        <v>Kuu</v>
      </c>
      <c r="C11" s="51" t="str">
        <f>'2. Tulud-kulud projektiga'!C11</f>
        <v>päev</v>
      </c>
      <c r="D11" s="11">
        <f>'2. Tulud-kulud projektiga'!D11-'3. Tulud-kulud projektita'!D11</f>
        <v>0</v>
      </c>
      <c r="E11" s="11">
        <f>'2. Tulud-kulud projektiga'!E11-'3. Tulud-kulud projektita'!E11</f>
        <v>0</v>
      </c>
      <c r="F11" s="11">
        <f>'2. Tulud-kulud projektiga'!F11-'3. Tulud-kulud projektita'!F11</f>
        <v>21</v>
      </c>
      <c r="G11" s="11">
        <f>'2. Tulud-kulud projektiga'!G11-'3. Tulud-kulud projektita'!G11</f>
        <v>63</v>
      </c>
      <c r="H11" s="11">
        <f>'2. Tulud-kulud projektiga'!H11-'3. Tulud-kulud projektita'!H11</f>
        <v>63</v>
      </c>
      <c r="I11" s="11">
        <f>'2. Tulud-kulud projektiga'!I11-'3. Tulud-kulud projektita'!I11</f>
        <v>126</v>
      </c>
      <c r="J11" s="11">
        <f>'2. Tulud-kulud projektiga'!J11-'3. Tulud-kulud projektita'!J11</f>
        <v>126</v>
      </c>
      <c r="K11" s="11">
        <f>'2. Tulud-kulud projektiga'!K11-'3. Tulud-kulud projektita'!K11</f>
        <v>126</v>
      </c>
      <c r="L11" s="11">
        <f>'2. Tulud-kulud projektiga'!L11-'3. Tulud-kulud projektita'!L11</f>
        <v>126</v>
      </c>
      <c r="M11" s="11">
        <f>'2. Tulud-kulud projektiga'!M11-'3. Tulud-kulud projektita'!M11</f>
        <v>189</v>
      </c>
      <c r="N11" s="11">
        <f>'2. Tulud-kulud projektiga'!N11-'3. Tulud-kulud projektita'!N11</f>
        <v>189</v>
      </c>
      <c r="O11" s="11">
        <f>'2. Tulud-kulud projektiga'!O11-'3. Tulud-kulud projektita'!O11</f>
        <v>189</v>
      </c>
      <c r="P11" s="11">
        <f>'2. Tulud-kulud projektiga'!P11-'3. Tulud-kulud projektita'!P11</f>
        <v>189</v>
      </c>
      <c r="Q11" s="11">
        <f>'2. Tulud-kulud projektiga'!Q11-'3. Tulud-kulud projektita'!Q11</f>
        <v>189</v>
      </c>
      <c r="R11" s="11">
        <f>'2. Tulud-kulud projektiga'!R11-'3. Tulud-kulud projektita'!R11</f>
        <v>189</v>
      </c>
      <c r="S11" s="7"/>
      <c r="T11" s="7"/>
    </row>
    <row r="12" spans="1:20" x14ac:dyDescent="0.35">
      <c r="A12" s="817"/>
      <c r="B12" s="50" t="s">
        <v>0</v>
      </c>
      <c r="C12" s="51" t="s">
        <v>3</v>
      </c>
      <c r="D12" s="11">
        <f>'2. Tulud-kulud projektiga'!D12-'3. Tulud-kulud projektita'!D12</f>
        <v>0</v>
      </c>
      <c r="E12" s="11">
        <f>'2. Tulud-kulud projektiga'!E12-'3. Tulud-kulud projektita'!E12</f>
        <v>0</v>
      </c>
      <c r="F12" s="11">
        <f>'2. Tulud-kulud projektiga'!F12-'3. Tulud-kulud projektita'!F12</f>
        <v>650</v>
      </c>
      <c r="G12" s="11">
        <f>'2. Tulud-kulud projektiga'!G12-'3. Tulud-kulud projektita'!G12</f>
        <v>650</v>
      </c>
      <c r="H12" s="11">
        <f>'2. Tulud-kulud projektiga'!H12-'3. Tulud-kulud projektita'!H12</f>
        <v>650</v>
      </c>
      <c r="I12" s="11">
        <f>'2. Tulud-kulud projektiga'!I12-'3. Tulud-kulud projektita'!I12</f>
        <v>650</v>
      </c>
      <c r="J12" s="11">
        <f>'2. Tulud-kulud projektiga'!J12-'3. Tulud-kulud projektita'!J12</f>
        <v>650</v>
      </c>
      <c r="K12" s="11">
        <f>'2. Tulud-kulud projektiga'!K12-'3. Tulud-kulud projektita'!K12</f>
        <v>650</v>
      </c>
      <c r="L12" s="11">
        <f>'2. Tulud-kulud projektiga'!L12-'3. Tulud-kulud projektita'!L12</f>
        <v>650</v>
      </c>
      <c r="M12" s="11">
        <f>'2. Tulud-kulud projektiga'!M12-'3. Tulud-kulud projektita'!M12</f>
        <v>650</v>
      </c>
      <c r="N12" s="11">
        <f>'2. Tulud-kulud projektiga'!N12-'3. Tulud-kulud projektita'!N12</f>
        <v>650</v>
      </c>
      <c r="O12" s="11">
        <f>'2. Tulud-kulud projektiga'!O12-'3. Tulud-kulud projektita'!O12</f>
        <v>650</v>
      </c>
      <c r="P12" s="11">
        <f>'2. Tulud-kulud projektiga'!P12-'3. Tulud-kulud projektita'!P12</f>
        <v>650</v>
      </c>
      <c r="Q12" s="11">
        <f>'2. Tulud-kulud projektiga'!Q12-'3. Tulud-kulud projektita'!Q12</f>
        <v>650</v>
      </c>
      <c r="R12" s="11">
        <f>'2. Tulud-kulud projektiga'!R12-'3. Tulud-kulud projektita'!R12</f>
        <v>650</v>
      </c>
      <c r="S12" s="7"/>
      <c r="T12" s="7"/>
    </row>
    <row r="13" spans="1:20" x14ac:dyDescent="0.35">
      <c r="A13" s="817"/>
      <c r="B13" s="52" t="s">
        <v>1</v>
      </c>
      <c r="C13" s="53" t="s">
        <v>3</v>
      </c>
      <c r="D13" s="54">
        <f>'2. Tulud-kulud projektiga'!D13-'3. Tulud-kulud projektita'!D13</f>
        <v>0</v>
      </c>
      <c r="E13" s="54">
        <f>'2. Tulud-kulud projektiga'!E13-'3. Tulud-kulud projektita'!E13</f>
        <v>0</v>
      </c>
      <c r="F13" s="54">
        <f>'2. Tulud-kulud projektiga'!F13-'3. Tulud-kulud projektita'!F13</f>
        <v>13650</v>
      </c>
      <c r="G13" s="54">
        <f>'2. Tulud-kulud projektiga'!G13-'3. Tulud-kulud projektita'!G13</f>
        <v>40950</v>
      </c>
      <c r="H13" s="54">
        <f>'2. Tulud-kulud projektiga'!H13-'3. Tulud-kulud projektita'!H13</f>
        <v>40950</v>
      </c>
      <c r="I13" s="54">
        <f>'2. Tulud-kulud projektiga'!I13-'3. Tulud-kulud projektita'!I13</f>
        <v>81900</v>
      </c>
      <c r="J13" s="54">
        <f>'2. Tulud-kulud projektiga'!J13-'3. Tulud-kulud projektita'!J13</f>
        <v>81900</v>
      </c>
      <c r="K13" s="54">
        <f>'2. Tulud-kulud projektiga'!K13-'3. Tulud-kulud projektita'!K13</f>
        <v>81900</v>
      </c>
      <c r="L13" s="54">
        <f>'2. Tulud-kulud projektiga'!L13-'3. Tulud-kulud projektita'!L13</f>
        <v>81900</v>
      </c>
      <c r="M13" s="54">
        <f>'2. Tulud-kulud projektiga'!M13-'3. Tulud-kulud projektita'!M13</f>
        <v>122850</v>
      </c>
      <c r="N13" s="54">
        <f>'2. Tulud-kulud projektiga'!N13-'3. Tulud-kulud projektita'!N13</f>
        <v>122850</v>
      </c>
      <c r="O13" s="54">
        <f>'2. Tulud-kulud projektiga'!O13-'3. Tulud-kulud projektita'!O13</f>
        <v>122850</v>
      </c>
      <c r="P13" s="54">
        <f>'2. Tulud-kulud projektiga'!P13-'3. Tulud-kulud projektita'!P13</f>
        <v>122850</v>
      </c>
      <c r="Q13" s="54">
        <f>'2. Tulud-kulud projektiga'!Q13-'3. Tulud-kulud projektita'!Q13</f>
        <v>122850</v>
      </c>
      <c r="R13" s="54">
        <f>'2. Tulud-kulud projektiga'!R13-'3. Tulud-kulud projektita'!R13</f>
        <v>122850</v>
      </c>
      <c r="S13" s="7"/>
      <c r="T13" s="7"/>
    </row>
    <row r="14" spans="1:20" ht="4.5" hidden="1" customHeight="1" x14ac:dyDescent="0.35">
      <c r="A14" s="47"/>
      <c r="B14" s="26"/>
      <c r="C14" s="12"/>
      <c r="D14" s="12"/>
      <c r="E14" s="12"/>
      <c r="F14" s="12"/>
      <c r="G14" s="12"/>
      <c r="H14" s="12"/>
      <c r="I14" s="12"/>
      <c r="J14" s="12"/>
      <c r="K14" s="12"/>
      <c r="L14" s="12"/>
      <c r="M14" s="12"/>
      <c r="N14" s="12"/>
      <c r="O14" s="12"/>
      <c r="P14" s="12"/>
      <c r="Q14" s="12"/>
      <c r="R14" s="12"/>
      <c r="S14" s="7"/>
      <c r="T14" s="7"/>
    </row>
    <row r="15" spans="1:20" hidden="1" x14ac:dyDescent="0.35">
      <c r="A15" s="817" t="str">
        <f>'2. Tulud-kulud projektiga'!A15:A17</f>
        <v>Üüritulud.  1 korrus. Laod ja töökojad</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150.65</v>
      </c>
      <c r="G15" s="11">
        <f>'2. Tulud-kulud projektiga'!G15-'3. Tulud-kulud projektita'!G15</f>
        <v>451.95</v>
      </c>
      <c r="H15" s="11">
        <f>'2. Tulud-kulud projektiga'!H15-'3. Tulud-kulud projektita'!H15</f>
        <v>451.95</v>
      </c>
      <c r="I15" s="11">
        <f>'2. Tulud-kulud projektiga'!I15-'3. Tulud-kulud projektita'!I15</f>
        <v>903.9</v>
      </c>
      <c r="J15" s="11">
        <f>'2. Tulud-kulud projektiga'!J15-'3. Tulud-kulud projektita'!J15</f>
        <v>903.9</v>
      </c>
      <c r="K15" s="11">
        <f>'2. Tulud-kulud projektiga'!K15-'3. Tulud-kulud projektita'!K15</f>
        <v>903.9</v>
      </c>
      <c r="L15" s="11">
        <f>'2. Tulud-kulud projektiga'!L15-'3. Tulud-kulud projektita'!L15</f>
        <v>903.9</v>
      </c>
      <c r="M15" s="11">
        <f>'2. Tulud-kulud projektiga'!M15-'3. Tulud-kulud projektita'!M15</f>
        <v>1355.85</v>
      </c>
      <c r="N15" s="11">
        <f>'2. Tulud-kulud projektiga'!N15-'3. Tulud-kulud projektita'!N15</f>
        <v>1355.85</v>
      </c>
      <c r="O15" s="11">
        <f>'2. Tulud-kulud projektiga'!O15-'3. Tulud-kulud projektita'!O15</f>
        <v>1355.85</v>
      </c>
      <c r="P15" s="11">
        <f>'2. Tulud-kulud projektiga'!P15-'3. Tulud-kulud projektita'!P15</f>
        <v>1355.85</v>
      </c>
      <c r="Q15" s="11">
        <f>'2. Tulud-kulud projektiga'!Q15-'3. Tulud-kulud projektita'!Q15</f>
        <v>1355.85</v>
      </c>
      <c r="R15" s="11">
        <f>'2. Tulud-kulud projektiga'!R15-'3. Tulud-kulud projektita'!R15</f>
        <v>1355.85</v>
      </c>
      <c r="S15" s="7"/>
      <c r="T15" s="7"/>
    </row>
    <row r="16" spans="1:20" hidden="1" x14ac:dyDescent="0.35">
      <c r="A16" s="817"/>
      <c r="B16" s="50" t="s">
        <v>0</v>
      </c>
      <c r="C16" s="51" t="s">
        <v>3</v>
      </c>
      <c r="D16" s="11">
        <f>'2. Tulud-kulud projektiga'!D16-'3. Tulud-kulud projektita'!D16</f>
        <v>0</v>
      </c>
      <c r="E16" s="11">
        <f>'2. Tulud-kulud projektiga'!E16-'3. Tulud-kulud projektita'!E16</f>
        <v>0</v>
      </c>
      <c r="F16" s="11">
        <f>'2. Tulud-kulud projektiga'!F16-'3. Tulud-kulud projektita'!F16</f>
        <v>84</v>
      </c>
      <c r="G16" s="11">
        <f>'2. Tulud-kulud projektiga'!G16-'3. Tulud-kulud projektita'!G16</f>
        <v>84</v>
      </c>
      <c r="H16" s="11">
        <f>'2. Tulud-kulud projektiga'!H16-'3. Tulud-kulud projektita'!H16</f>
        <v>84</v>
      </c>
      <c r="I16" s="11">
        <f>'2. Tulud-kulud projektiga'!I16-'3. Tulud-kulud projektita'!I16</f>
        <v>84</v>
      </c>
      <c r="J16" s="11">
        <f>'2. Tulud-kulud projektiga'!J16-'3. Tulud-kulud projektita'!J16</f>
        <v>84</v>
      </c>
      <c r="K16" s="11">
        <f>'2. Tulud-kulud projektiga'!K16-'3. Tulud-kulud projektita'!K16</f>
        <v>84</v>
      </c>
      <c r="L16" s="11">
        <f>'2. Tulud-kulud projektiga'!L16-'3. Tulud-kulud projektita'!L16</f>
        <v>84</v>
      </c>
      <c r="M16" s="11">
        <f>'2. Tulud-kulud projektiga'!M16-'3. Tulud-kulud projektita'!M16</f>
        <v>84</v>
      </c>
      <c r="N16" s="11">
        <f>'2. Tulud-kulud projektiga'!N16-'3. Tulud-kulud projektita'!N16</f>
        <v>84</v>
      </c>
      <c r="O16" s="11">
        <f>'2. Tulud-kulud projektiga'!O16-'3. Tulud-kulud projektita'!O16</f>
        <v>84</v>
      </c>
      <c r="P16" s="11">
        <f>'2. Tulud-kulud projektiga'!P16-'3. Tulud-kulud projektita'!P16</f>
        <v>84</v>
      </c>
      <c r="Q16" s="11">
        <f>'2. Tulud-kulud projektiga'!Q16-'3. Tulud-kulud projektita'!Q16</f>
        <v>84</v>
      </c>
      <c r="R16" s="11">
        <f>'2. Tulud-kulud projektiga'!R16-'3. Tulud-kulud projektita'!R16</f>
        <v>84</v>
      </c>
      <c r="S16" s="7"/>
      <c r="T16" s="7"/>
    </row>
    <row r="17" spans="1:20" hidden="1" x14ac:dyDescent="0.35">
      <c r="A17" s="817"/>
      <c r="B17" s="52" t="s">
        <v>1</v>
      </c>
      <c r="C17" s="53" t="s">
        <v>3</v>
      </c>
      <c r="D17" s="54">
        <f>'2. Tulud-kulud projektiga'!D17-'3. Tulud-kulud projektita'!D17</f>
        <v>0</v>
      </c>
      <c r="E17" s="54">
        <f>'2. Tulud-kulud projektiga'!E17-'3. Tulud-kulud projektita'!E17</f>
        <v>0</v>
      </c>
      <c r="F17" s="54">
        <f>'2. Tulud-kulud projektiga'!F17-'3. Tulud-kulud projektita'!F17</f>
        <v>12654.6</v>
      </c>
      <c r="G17" s="54">
        <f>'2. Tulud-kulud projektiga'!G17-'3. Tulud-kulud projektita'!G17</f>
        <v>37963.799999999996</v>
      </c>
      <c r="H17" s="54">
        <f>'2. Tulud-kulud projektiga'!H17-'3. Tulud-kulud projektita'!H17</f>
        <v>37963.799999999996</v>
      </c>
      <c r="I17" s="54">
        <f>'2. Tulud-kulud projektiga'!I17-'3. Tulud-kulud projektita'!I17</f>
        <v>75927.599999999991</v>
      </c>
      <c r="J17" s="54">
        <f>'2. Tulud-kulud projektiga'!J17-'3. Tulud-kulud projektita'!J17</f>
        <v>75927.599999999991</v>
      </c>
      <c r="K17" s="54">
        <f>'2. Tulud-kulud projektiga'!K17-'3. Tulud-kulud projektita'!K17</f>
        <v>75927.599999999991</v>
      </c>
      <c r="L17" s="54">
        <f>'2. Tulud-kulud projektiga'!L17-'3. Tulud-kulud projektita'!L17</f>
        <v>75927.599999999991</v>
      </c>
      <c r="M17" s="54">
        <f>'2. Tulud-kulud projektiga'!M17-'3. Tulud-kulud projektita'!M17</f>
        <v>113891.4</v>
      </c>
      <c r="N17" s="54">
        <f>'2. Tulud-kulud projektiga'!N17-'3. Tulud-kulud projektita'!N17</f>
        <v>113891.4</v>
      </c>
      <c r="O17" s="54">
        <f>'2. Tulud-kulud projektiga'!O17-'3. Tulud-kulud projektita'!O17</f>
        <v>113891.4</v>
      </c>
      <c r="P17" s="54">
        <f>'2. Tulud-kulud projektiga'!P17-'3. Tulud-kulud projektita'!P17</f>
        <v>113891.4</v>
      </c>
      <c r="Q17" s="54">
        <f>'2. Tulud-kulud projektiga'!Q17-'3. Tulud-kulud projektita'!Q17</f>
        <v>113891.4</v>
      </c>
      <c r="R17" s="54">
        <f>'2. Tulud-kulud projektiga'!R17-'3. Tulud-kulud projektita'!R17</f>
        <v>113891.4</v>
      </c>
      <c r="S17" s="7"/>
      <c r="T17" s="7"/>
    </row>
    <row r="18" spans="1:20" ht="4.5" hidden="1" customHeight="1" x14ac:dyDescent="0.35">
      <c r="A18" s="47"/>
      <c r="B18" s="26"/>
      <c r="C18" s="12"/>
      <c r="D18" s="12"/>
      <c r="E18" s="12"/>
      <c r="F18" s="12"/>
      <c r="G18" s="12"/>
      <c r="H18" s="12"/>
      <c r="I18" s="12"/>
      <c r="J18" s="12"/>
      <c r="K18" s="12"/>
      <c r="L18" s="12"/>
      <c r="M18" s="12"/>
      <c r="N18" s="12"/>
      <c r="O18" s="12"/>
      <c r="P18" s="12"/>
      <c r="Q18" s="12"/>
      <c r="R18" s="12"/>
      <c r="S18" s="7"/>
      <c r="T18" s="7"/>
    </row>
    <row r="19" spans="1:20" hidden="1" x14ac:dyDescent="0.35">
      <c r="A19" s="817" t="str">
        <f>'2. Tulud-kulud projektiga'!A19:A21</f>
        <v>Üüritulud. 2 korrus. Muud üüriruumid (postproduction)</v>
      </c>
      <c r="B19" s="50" t="str">
        <f>'2. Tulud-kulud projektiga'!B19</f>
        <v>Ühik 4</v>
      </c>
      <c r="C19" s="51" t="str">
        <f>'2. Tulud-kulud projektiga'!C19</f>
        <v>m2</v>
      </c>
      <c r="D19" s="11">
        <f>'2. Tulud-kulud projektiga'!D19-'3. Tulud-kulud projektita'!D19</f>
        <v>0</v>
      </c>
      <c r="E19" s="11">
        <f>'2. Tulud-kulud projektiga'!E19-'3. Tulud-kulud projektita'!E19</f>
        <v>0</v>
      </c>
      <c r="F19" s="11">
        <f>'2. Tulud-kulud projektiga'!F19-'3. Tulud-kulud projektita'!F19</f>
        <v>105.63333333333334</v>
      </c>
      <c r="G19" s="11">
        <f>'2. Tulud-kulud projektiga'!G19-'3. Tulud-kulud projektita'!G19</f>
        <v>316.90000000000003</v>
      </c>
      <c r="H19" s="11">
        <f>'2. Tulud-kulud projektiga'!H19-'3. Tulud-kulud projektita'!H19</f>
        <v>316.90000000000003</v>
      </c>
      <c r="I19" s="11">
        <f>'2. Tulud-kulud projektiga'!I19-'3. Tulud-kulud projektita'!I19</f>
        <v>633.80000000000007</v>
      </c>
      <c r="J19" s="11">
        <f>'2. Tulud-kulud projektiga'!J19-'3. Tulud-kulud projektita'!J19</f>
        <v>633.80000000000007</v>
      </c>
      <c r="K19" s="11">
        <f>'2. Tulud-kulud projektiga'!K19-'3. Tulud-kulud projektita'!K19</f>
        <v>633.80000000000007</v>
      </c>
      <c r="L19" s="11">
        <f>'2. Tulud-kulud projektiga'!L19-'3. Tulud-kulud projektita'!L19</f>
        <v>633.80000000000007</v>
      </c>
      <c r="M19" s="11">
        <f>'2. Tulud-kulud projektiga'!M19-'3. Tulud-kulud projektita'!M19</f>
        <v>950.7</v>
      </c>
      <c r="N19" s="11">
        <f>'2. Tulud-kulud projektiga'!N19-'3. Tulud-kulud projektita'!N19</f>
        <v>950.7</v>
      </c>
      <c r="O19" s="11">
        <f>'2. Tulud-kulud projektiga'!O19-'3. Tulud-kulud projektita'!O19</f>
        <v>950.7</v>
      </c>
      <c r="P19" s="11">
        <f>'2. Tulud-kulud projektiga'!P19-'3. Tulud-kulud projektita'!P19</f>
        <v>950.7</v>
      </c>
      <c r="Q19" s="11">
        <f>'2. Tulud-kulud projektiga'!Q19-'3. Tulud-kulud projektita'!Q19</f>
        <v>950.7</v>
      </c>
      <c r="R19" s="11">
        <f>'2. Tulud-kulud projektiga'!R19-'3. Tulud-kulud projektita'!R19</f>
        <v>950.7</v>
      </c>
      <c r="S19" s="7"/>
      <c r="T19" s="7"/>
    </row>
    <row r="20" spans="1:20" hidden="1" x14ac:dyDescent="0.35">
      <c r="A20" s="817"/>
      <c r="B20" s="50" t="s">
        <v>0</v>
      </c>
      <c r="C20" s="51" t="s">
        <v>3</v>
      </c>
      <c r="D20" s="11">
        <f>'2. Tulud-kulud projektiga'!D20-'3. Tulud-kulud projektita'!D20</f>
        <v>0</v>
      </c>
      <c r="E20" s="11">
        <f>'2. Tulud-kulud projektiga'!E20-'3. Tulud-kulud projektita'!E20</f>
        <v>0</v>
      </c>
      <c r="F20" s="11">
        <f>'2. Tulud-kulud projektiga'!F20-'3. Tulud-kulud projektita'!F20</f>
        <v>84</v>
      </c>
      <c r="G20" s="11">
        <f>'2. Tulud-kulud projektiga'!G20-'3. Tulud-kulud projektita'!G20</f>
        <v>84</v>
      </c>
      <c r="H20" s="11">
        <f>'2. Tulud-kulud projektiga'!H20-'3. Tulud-kulud projektita'!H20</f>
        <v>84</v>
      </c>
      <c r="I20" s="11">
        <f>'2. Tulud-kulud projektiga'!I20-'3. Tulud-kulud projektita'!I20</f>
        <v>84</v>
      </c>
      <c r="J20" s="11">
        <f>'2. Tulud-kulud projektiga'!J20-'3. Tulud-kulud projektita'!J20</f>
        <v>84</v>
      </c>
      <c r="K20" s="11">
        <f>'2. Tulud-kulud projektiga'!K20-'3. Tulud-kulud projektita'!K20</f>
        <v>84</v>
      </c>
      <c r="L20" s="11">
        <f>'2. Tulud-kulud projektiga'!L20-'3. Tulud-kulud projektita'!L20</f>
        <v>84</v>
      </c>
      <c r="M20" s="11">
        <f>'2. Tulud-kulud projektiga'!M20-'3. Tulud-kulud projektita'!M20</f>
        <v>84</v>
      </c>
      <c r="N20" s="11">
        <f>'2. Tulud-kulud projektiga'!N20-'3. Tulud-kulud projektita'!N20</f>
        <v>84</v>
      </c>
      <c r="O20" s="11">
        <f>'2. Tulud-kulud projektiga'!O20-'3. Tulud-kulud projektita'!O20</f>
        <v>84</v>
      </c>
      <c r="P20" s="11">
        <f>'2. Tulud-kulud projektiga'!P20-'3. Tulud-kulud projektita'!P20</f>
        <v>84</v>
      </c>
      <c r="Q20" s="11">
        <f>'2. Tulud-kulud projektiga'!Q20-'3. Tulud-kulud projektita'!Q20</f>
        <v>84</v>
      </c>
      <c r="R20" s="11">
        <f>'2. Tulud-kulud projektiga'!R20-'3. Tulud-kulud projektita'!R20</f>
        <v>84</v>
      </c>
      <c r="S20" s="7"/>
      <c r="T20" s="7"/>
    </row>
    <row r="21" spans="1:20" hidden="1" x14ac:dyDescent="0.35">
      <c r="A21" s="817"/>
      <c r="B21" s="52" t="s">
        <v>1</v>
      </c>
      <c r="C21" s="53" t="s">
        <v>3</v>
      </c>
      <c r="D21" s="54">
        <f>'2. Tulud-kulud projektiga'!D21-'3. Tulud-kulud projektita'!D21</f>
        <v>0</v>
      </c>
      <c r="E21" s="54">
        <f>'2. Tulud-kulud projektiga'!E21-'3. Tulud-kulud projektita'!E21</f>
        <v>0</v>
      </c>
      <c r="F21" s="54">
        <f>'2. Tulud-kulud projektiga'!F21-'3. Tulud-kulud projektita'!F21</f>
        <v>8873.2000000000007</v>
      </c>
      <c r="G21" s="54">
        <f>'2. Tulud-kulud projektiga'!G21-'3. Tulud-kulud projektita'!G21</f>
        <v>26619.600000000002</v>
      </c>
      <c r="H21" s="54">
        <f>'2. Tulud-kulud projektiga'!H21-'3. Tulud-kulud projektita'!H21</f>
        <v>26619.600000000002</v>
      </c>
      <c r="I21" s="54">
        <f>'2. Tulud-kulud projektiga'!I21-'3. Tulud-kulud projektita'!I21</f>
        <v>53239.200000000004</v>
      </c>
      <c r="J21" s="54">
        <f>'2. Tulud-kulud projektiga'!J21-'3. Tulud-kulud projektita'!J21</f>
        <v>53239.200000000004</v>
      </c>
      <c r="K21" s="54">
        <f>'2. Tulud-kulud projektiga'!K21-'3. Tulud-kulud projektita'!K21</f>
        <v>53239.200000000004</v>
      </c>
      <c r="L21" s="54">
        <f>'2. Tulud-kulud projektiga'!L21-'3. Tulud-kulud projektita'!L21</f>
        <v>53239.200000000004</v>
      </c>
      <c r="M21" s="54">
        <f>'2. Tulud-kulud projektiga'!M21-'3. Tulud-kulud projektita'!M21</f>
        <v>79858.8</v>
      </c>
      <c r="N21" s="54">
        <f>'2. Tulud-kulud projektiga'!N21-'3. Tulud-kulud projektita'!N21</f>
        <v>79858.8</v>
      </c>
      <c r="O21" s="54">
        <f>'2. Tulud-kulud projektiga'!O21-'3. Tulud-kulud projektita'!O21</f>
        <v>79858.8</v>
      </c>
      <c r="P21" s="54">
        <f>'2. Tulud-kulud projektiga'!P21-'3. Tulud-kulud projektita'!P21</f>
        <v>79858.8</v>
      </c>
      <c r="Q21" s="54">
        <f>'2. Tulud-kulud projektiga'!Q21-'3. Tulud-kulud projektita'!Q21</f>
        <v>79858.8</v>
      </c>
      <c r="R21" s="54">
        <f>'2. Tulud-kulud projektiga'!R21-'3. Tulud-kulud projektita'!R21</f>
        <v>79858.8</v>
      </c>
      <c r="S21" s="7"/>
      <c r="T21" s="7"/>
    </row>
    <row r="22" spans="1:20" ht="4.5" hidden="1" customHeight="1" x14ac:dyDescent="0.35">
      <c r="A22" s="47"/>
      <c r="B22" s="26"/>
      <c r="C22" s="12"/>
      <c r="D22" s="12"/>
      <c r="E22" s="12"/>
      <c r="F22" s="12"/>
      <c r="G22" s="12"/>
      <c r="H22" s="12"/>
      <c r="I22" s="12"/>
      <c r="J22" s="12"/>
      <c r="K22" s="12"/>
      <c r="L22" s="12"/>
      <c r="M22" s="12"/>
      <c r="N22" s="12"/>
      <c r="O22" s="12"/>
      <c r="P22" s="12"/>
      <c r="Q22" s="12"/>
      <c r="R22" s="12"/>
      <c r="S22" s="7"/>
      <c r="T22" s="7"/>
    </row>
    <row r="23" spans="1:20" hidden="1" x14ac:dyDescent="0.35">
      <c r="A23" s="817" t="str">
        <f>'2. Tulud-kulud projektiga'!A23:A25</f>
        <v>Arved üürnikele kommunaalkulude eest</v>
      </c>
      <c r="B23" s="50" t="str">
        <f>'2. Tulud-kulud projektiga'!B23</f>
        <v>Ühik 5</v>
      </c>
      <c r="C23" s="51" t="str">
        <f>'2. Tulud-kulud projektiga'!C23</f>
        <v>Kuud</v>
      </c>
      <c r="D23" s="11">
        <f>'2. Tulud-kulud projektiga'!D23-'3. Tulud-kulud projektita'!D23</f>
        <v>0</v>
      </c>
      <c r="E23" s="11">
        <f>'2. Tulud-kulud projektiga'!E23-'3. Tulud-kulud projektita'!E23</f>
        <v>0</v>
      </c>
      <c r="F23" s="11">
        <f>'2. Tulud-kulud projektiga'!F23-'3. Tulud-kulud projektita'!F23</f>
        <v>4</v>
      </c>
      <c r="G23" s="11">
        <f>'2. Tulud-kulud projektiga'!G23-'3. Tulud-kulud projektita'!G23</f>
        <v>12</v>
      </c>
      <c r="H23" s="11">
        <f>'2. Tulud-kulud projektiga'!H23-'3. Tulud-kulud projektita'!H23</f>
        <v>12</v>
      </c>
      <c r="I23" s="11">
        <f>'2. Tulud-kulud projektiga'!I23-'3. Tulud-kulud projektita'!I23</f>
        <v>12</v>
      </c>
      <c r="J23" s="11">
        <f>'2. Tulud-kulud projektiga'!J23-'3. Tulud-kulud projektita'!J23</f>
        <v>12</v>
      </c>
      <c r="K23" s="11">
        <f>'2. Tulud-kulud projektiga'!K23-'3. Tulud-kulud projektita'!K23</f>
        <v>12</v>
      </c>
      <c r="L23" s="11">
        <f>'2. Tulud-kulud projektiga'!L23-'3. Tulud-kulud projektita'!L23</f>
        <v>12</v>
      </c>
      <c r="M23" s="11">
        <f>'2. Tulud-kulud projektiga'!M23-'3. Tulud-kulud projektita'!M23</f>
        <v>12</v>
      </c>
      <c r="N23" s="11">
        <f>'2. Tulud-kulud projektiga'!N23-'3. Tulud-kulud projektita'!N23</f>
        <v>12</v>
      </c>
      <c r="O23" s="11">
        <f>'2. Tulud-kulud projektiga'!O23-'3. Tulud-kulud projektita'!O23</f>
        <v>12</v>
      </c>
      <c r="P23" s="11">
        <f>'2. Tulud-kulud projektiga'!P23-'3. Tulud-kulud projektita'!P23</f>
        <v>12</v>
      </c>
      <c r="Q23" s="11">
        <f>'2. Tulud-kulud projektiga'!Q23-'3. Tulud-kulud projektita'!Q23</f>
        <v>12</v>
      </c>
      <c r="R23" s="11">
        <f>'2. Tulud-kulud projektiga'!R23-'3. Tulud-kulud projektita'!R23</f>
        <v>12</v>
      </c>
      <c r="S23" s="7"/>
      <c r="T23" s="7"/>
    </row>
    <row r="24" spans="1:20" hidden="1" x14ac:dyDescent="0.35">
      <c r="A24" s="817"/>
      <c r="B24" s="50" t="s">
        <v>0</v>
      </c>
      <c r="C24" s="51" t="s">
        <v>3</v>
      </c>
      <c r="D24" s="11">
        <f>'2. Tulud-kulud projektiga'!D24-'3. Tulud-kulud projektita'!D24</f>
        <v>0</v>
      </c>
      <c r="E24" s="11">
        <f>'2. Tulud-kulud projektiga'!E24-'3. Tulud-kulud projektita'!E24</f>
        <v>0</v>
      </c>
      <c r="F24" s="11">
        <f>'2. Tulud-kulud projektiga'!F24-'3. Tulud-kulud projektita'!F24</f>
        <v>2943.6166743183335</v>
      </c>
      <c r="G24" s="11">
        <f>'2. Tulud-kulud projektiga'!G24-'3. Tulud-kulud projektita'!G24</f>
        <v>2943.6166743183335</v>
      </c>
      <c r="H24" s="11">
        <f>'2. Tulud-kulud projektiga'!H24-'3. Tulud-kulud projektita'!H24</f>
        <v>2943.6166743183335</v>
      </c>
      <c r="I24" s="11">
        <f>'2. Tulud-kulud projektiga'!I24-'3. Tulud-kulud projektita'!I24</f>
        <v>6017.9693494866669</v>
      </c>
      <c r="J24" s="11">
        <f>'2. Tulud-kulud projektiga'!J24-'3. Tulud-kulud projektita'!J24</f>
        <v>6017.9693494866669</v>
      </c>
      <c r="K24" s="11">
        <f>'2. Tulud-kulud projektiga'!K24-'3. Tulud-kulud projektita'!K24</f>
        <v>6017.9693494866669</v>
      </c>
      <c r="L24" s="11">
        <f>'2. Tulud-kulud projektiga'!L24-'3. Tulud-kulud projektita'!L24</f>
        <v>6017.9693494866669</v>
      </c>
      <c r="M24" s="11">
        <f>'2. Tulud-kulud projektiga'!M24-'3. Tulud-kulud projektita'!M24</f>
        <v>9223.0580255050008</v>
      </c>
      <c r="N24" s="11">
        <f>'2. Tulud-kulud projektiga'!N24-'3. Tulud-kulud projektita'!N24</f>
        <v>9223.0580255050008</v>
      </c>
      <c r="O24" s="11">
        <f>'2. Tulud-kulud projektiga'!O24-'3. Tulud-kulud projektita'!O24</f>
        <v>9223.0580255050008</v>
      </c>
      <c r="P24" s="11">
        <f>'2. Tulud-kulud projektiga'!P24-'3. Tulud-kulud projektita'!P24</f>
        <v>9223.0580255050008</v>
      </c>
      <c r="Q24" s="11">
        <f>'2. Tulud-kulud projektiga'!Q24-'3. Tulud-kulud projektita'!Q24</f>
        <v>9223.0580255050008</v>
      </c>
      <c r="R24" s="11">
        <f>'2. Tulud-kulud projektiga'!R24-'3. Tulud-kulud projektita'!R24</f>
        <v>9223.0580255050008</v>
      </c>
      <c r="S24" s="7"/>
      <c r="T24" s="7"/>
    </row>
    <row r="25" spans="1:20" hidden="1" x14ac:dyDescent="0.35">
      <c r="A25" s="817"/>
      <c r="B25" s="52" t="s">
        <v>1</v>
      </c>
      <c r="C25" s="53" t="s">
        <v>3</v>
      </c>
      <c r="D25" s="54">
        <f>'2. Tulud-kulud projektiga'!D25-'3. Tulud-kulud projektita'!D25</f>
        <v>0</v>
      </c>
      <c r="E25" s="54">
        <f>'2. Tulud-kulud projektiga'!E25-'3. Tulud-kulud projektita'!E25</f>
        <v>0</v>
      </c>
      <c r="F25" s="54">
        <f>'2. Tulud-kulud projektiga'!F25-'3. Tulud-kulud projektita'!F25</f>
        <v>11774.466697273334</v>
      </c>
      <c r="G25" s="54">
        <f>'2. Tulud-kulud projektiga'!G25-'3. Tulud-kulud projektita'!G25</f>
        <v>35323.400091820004</v>
      </c>
      <c r="H25" s="54">
        <f>'2. Tulud-kulud projektiga'!H25-'3. Tulud-kulud projektita'!H25</f>
        <v>35323.400091820004</v>
      </c>
      <c r="I25" s="54">
        <f>'2. Tulud-kulud projektiga'!I25-'3. Tulud-kulud projektita'!I25</f>
        <v>72215.632193840007</v>
      </c>
      <c r="J25" s="54">
        <f>'2. Tulud-kulud projektiga'!J25-'3. Tulud-kulud projektita'!J25</f>
        <v>72215.632193840007</v>
      </c>
      <c r="K25" s="54">
        <f>'2. Tulud-kulud projektiga'!K25-'3. Tulud-kulud projektita'!K25</f>
        <v>72215.632193840007</v>
      </c>
      <c r="L25" s="54">
        <f>'2. Tulud-kulud projektiga'!L25-'3. Tulud-kulud projektita'!L25</f>
        <v>72215.632193840007</v>
      </c>
      <c r="M25" s="54">
        <f>'2. Tulud-kulud projektiga'!M25-'3. Tulud-kulud projektita'!M25</f>
        <v>110676.69630606001</v>
      </c>
      <c r="N25" s="54">
        <f>'2. Tulud-kulud projektiga'!N25-'3. Tulud-kulud projektita'!N25</f>
        <v>110676.69630606001</v>
      </c>
      <c r="O25" s="54">
        <f>'2. Tulud-kulud projektiga'!O25-'3. Tulud-kulud projektita'!O25</f>
        <v>110676.69630606001</v>
      </c>
      <c r="P25" s="54">
        <f>'2. Tulud-kulud projektiga'!P25-'3. Tulud-kulud projektita'!P25</f>
        <v>110676.69630606001</v>
      </c>
      <c r="Q25" s="54">
        <f>'2. Tulud-kulud projektiga'!Q25-'3. Tulud-kulud projektita'!Q25</f>
        <v>110676.69630606001</v>
      </c>
      <c r="R25" s="54">
        <f>'2. Tulud-kulud projektiga'!R25-'3. Tulud-kulud projektita'!R25</f>
        <v>110676.69630606001</v>
      </c>
      <c r="S25" s="7"/>
      <c r="T25" s="7"/>
    </row>
    <row r="26" spans="1:20" ht="4.5" hidden="1" customHeight="1" x14ac:dyDescent="0.35">
      <c r="A26" s="47"/>
      <c r="B26" s="26"/>
      <c r="C26" s="12"/>
      <c r="D26" s="12"/>
      <c r="E26" s="12"/>
      <c r="F26" s="12"/>
      <c r="G26" s="12"/>
      <c r="H26" s="12"/>
      <c r="I26" s="12"/>
      <c r="J26" s="12"/>
      <c r="K26" s="12"/>
      <c r="L26" s="12"/>
      <c r="M26" s="12"/>
      <c r="N26" s="12"/>
      <c r="O26" s="12"/>
      <c r="P26" s="12"/>
      <c r="Q26" s="12"/>
      <c r="R26" s="12"/>
      <c r="S26" s="7"/>
      <c r="T26" s="7"/>
    </row>
    <row r="27" spans="1:20" hidden="1" x14ac:dyDescent="0.35">
      <c r="A27" s="817"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x14ac:dyDescent="0.35">
      <c r="A28" s="817"/>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x14ac:dyDescent="0.35">
      <c r="A29" s="817"/>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x14ac:dyDescent="0.35">
      <c r="A30" s="47"/>
      <c r="B30" s="26"/>
      <c r="C30" s="12"/>
      <c r="D30" s="12"/>
      <c r="E30" s="12"/>
      <c r="F30" s="12"/>
      <c r="G30" s="12"/>
      <c r="H30" s="12"/>
      <c r="I30" s="12"/>
      <c r="J30" s="12"/>
      <c r="K30" s="12"/>
      <c r="L30" s="12"/>
      <c r="M30" s="12"/>
      <c r="N30" s="12"/>
      <c r="O30" s="12"/>
      <c r="P30" s="12"/>
      <c r="Q30" s="12"/>
      <c r="R30" s="12"/>
      <c r="S30" s="7"/>
      <c r="T30" s="7"/>
    </row>
    <row r="31" spans="1:20" hidden="1" x14ac:dyDescent="0.35">
      <c r="A31" s="817"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x14ac:dyDescent="0.35">
      <c r="A32" s="817"/>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x14ac:dyDescent="0.35">
      <c r="A33" s="817"/>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x14ac:dyDescent="0.35">
      <c r="A34" s="47"/>
      <c r="B34" s="26"/>
      <c r="C34" s="12"/>
      <c r="D34" s="12"/>
      <c r="E34" s="12"/>
      <c r="F34" s="12"/>
      <c r="G34" s="12"/>
      <c r="H34" s="12"/>
      <c r="I34" s="12"/>
      <c r="J34" s="12"/>
      <c r="K34" s="12"/>
      <c r="L34" s="12"/>
      <c r="M34" s="12"/>
      <c r="N34" s="12"/>
      <c r="O34" s="12"/>
      <c r="P34" s="12"/>
      <c r="Q34" s="12"/>
      <c r="R34" s="12"/>
      <c r="S34" s="7"/>
      <c r="T34" s="7"/>
    </row>
    <row r="35" spans="1:20" hidden="1" x14ac:dyDescent="0.35">
      <c r="A35" s="817"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x14ac:dyDescent="0.35">
      <c r="A36" s="817"/>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x14ac:dyDescent="0.35">
      <c r="A37" s="817"/>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x14ac:dyDescent="0.35">
      <c r="A38" s="47"/>
      <c r="B38" s="26"/>
      <c r="C38" s="12"/>
      <c r="D38" s="12"/>
      <c r="E38" s="12"/>
      <c r="F38" s="12"/>
      <c r="G38" s="12"/>
      <c r="H38" s="12"/>
      <c r="I38" s="12"/>
      <c r="J38" s="12"/>
      <c r="K38" s="12"/>
      <c r="L38" s="12"/>
      <c r="M38" s="12"/>
      <c r="N38" s="12"/>
      <c r="O38" s="12"/>
      <c r="P38" s="12"/>
      <c r="Q38" s="12"/>
      <c r="R38" s="12"/>
      <c r="S38" s="7"/>
      <c r="T38" s="7"/>
    </row>
    <row r="39" spans="1:20" hidden="1" x14ac:dyDescent="0.35">
      <c r="A39" s="817"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x14ac:dyDescent="0.35">
      <c r="A40" s="817"/>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x14ac:dyDescent="0.35">
      <c r="A41" s="817"/>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x14ac:dyDescent="0.35">
      <c r="A42" s="47"/>
      <c r="B42" s="26"/>
      <c r="C42" s="12"/>
      <c r="D42" s="12"/>
      <c r="E42" s="12"/>
      <c r="F42" s="12"/>
      <c r="G42" s="12"/>
      <c r="H42" s="12"/>
      <c r="I42" s="12"/>
      <c r="J42" s="12"/>
      <c r="K42" s="12"/>
      <c r="L42" s="12"/>
      <c r="M42" s="12"/>
      <c r="N42" s="12"/>
      <c r="O42" s="12"/>
      <c r="P42" s="12"/>
      <c r="Q42" s="12"/>
      <c r="R42" s="12"/>
      <c r="S42" s="7"/>
      <c r="T42" s="7"/>
    </row>
    <row r="43" spans="1:20" hidden="1" x14ac:dyDescent="0.35">
      <c r="A43" s="817"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x14ac:dyDescent="0.35">
      <c r="A44" s="817"/>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x14ac:dyDescent="0.35">
      <c r="A45" s="817"/>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7"/>
      <c r="T46" s="7"/>
    </row>
    <row r="47" spans="1:20" ht="18.75" hidden="1" customHeight="1" x14ac:dyDescent="0.35">
      <c r="A47" s="820" t="str">
        <f>'2. Tulud-kulud projektiga'!A47:B47</f>
        <v>Muu tulu (nimetage)</v>
      </c>
      <c r="B47" s="821"/>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hidden="1" customHeight="1" x14ac:dyDescent="0.35">
      <c r="A48" s="820" t="str">
        <f>'2. Tulud-kulud projektiga'!A48:B48</f>
        <v>Muu tulu (nimetage)</v>
      </c>
      <c r="B48" s="821"/>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hidden="1" customHeight="1" x14ac:dyDescent="0.35">
      <c r="A49" s="820" t="str">
        <f>'2. Tulud-kulud projektiga'!A49:B49</f>
        <v>Muu tulu (nimetage)</v>
      </c>
      <c r="B49" s="821"/>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hidden="1" customHeight="1" x14ac:dyDescent="0.35">
      <c r="A50" s="820" t="str">
        <f>'2. Tulud-kulud projektiga'!A50:B50</f>
        <v>Muu tulu (nimetage)</v>
      </c>
      <c r="B50" s="821"/>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hidden="1" customHeight="1" x14ac:dyDescent="0.35">
      <c r="A51" s="820" t="str">
        <f>'2. Tulud-kulud projektiga'!A51:B51</f>
        <v>Muu tulu (nimetage)</v>
      </c>
      <c r="B51" s="821"/>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hidden="1"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822" t="s">
        <v>65</v>
      </c>
      <c r="B53" s="823"/>
      <c r="C53" s="48" t="s">
        <v>3</v>
      </c>
      <c r="D53" s="58">
        <f t="shared" ref="D53" si="4">D9+D13+D17+D21+D25+D29+D33+D37+D41+D45+D47+D48+D49+D50+D51</f>
        <v>0</v>
      </c>
      <c r="E53" s="58">
        <f t="shared" ref="E53:R53" si="5">E9+E13+E17+E21+E25+E29+E33+E37+E41+E45+E47+E48+E49+E50+E51</f>
        <v>0</v>
      </c>
      <c r="F53" s="58">
        <f t="shared" si="5"/>
        <v>57452.266697273335</v>
      </c>
      <c r="G53" s="58">
        <f t="shared" si="5"/>
        <v>172356.80009182001</v>
      </c>
      <c r="H53" s="58">
        <f t="shared" si="5"/>
        <v>172356.80009182001</v>
      </c>
      <c r="I53" s="58">
        <f t="shared" si="5"/>
        <v>346282.43219383998</v>
      </c>
      <c r="J53" s="58">
        <f t="shared" si="5"/>
        <v>346282.43219383998</v>
      </c>
      <c r="K53" s="58">
        <f t="shared" si="5"/>
        <v>346282.43219383998</v>
      </c>
      <c r="L53" s="58">
        <f t="shared" si="5"/>
        <v>346282.43219383998</v>
      </c>
      <c r="M53" s="58">
        <f t="shared" si="5"/>
        <v>521776.89630606002</v>
      </c>
      <c r="N53" s="58">
        <f t="shared" si="5"/>
        <v>521776.89630606002</v>
      </c>
      <c r="O53" s="58">
        <f t="shared" si="5"/>
        <v>521776.89630606002</v>
      </c>
      <c r="P53" s="58">
        <f t="shared" si="5"/>
        <v>521776.89630606002</v>
      </c>
      <c r="Q53" s="58">
        <f t="shared" si="5"/>
        <v>521776.89630606002</v>
      </c>
      <c r="R53" s="58">
        <f t="shared" si="5"/>
        <v>521776.89630606002</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67</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817" t="s">
        <v>15</v>
      </c>
      <c r="B58" s="50" t="str">
        <f>'2. Tulud-kulud projektiga'!B58</f>
        <v>Stuudiote turundus- ja kommunikatsioonijuht</v>
      </c>
      <c r="C58" s="51" t="s">
        <v>3</v>
      </c>
      <c r="D58" s="11">
        <f>'2. Tulud-kulud projektiga'!D58-'3. Tulud-kulud projektita'!D58</f>
        <v>16632</v>
      </c>
      <c r="E58" s="11">
        <f>'2. Tulud-kulud projektiga'!E58-'3. Tulud-kulud projektita'!E58</f>
        <v>33264</v>
      </c>
      <c r="F58" s="11">
        <f>'2. Tulud-kulud projektiga'!F58-'3. Tulud-kulud projektita'!F58</f>
        <v>33264</v>
      </c>
      <c r="G58" s="11">
        <f>'2. Tulud-kulud projektiga'!G58-'3. Tulud-kulud projektita'!G58</f>
        <v>33264</v>
      </c>
      <c r="H58" s="11">
        <f>'2. Tulud-kulud projektiga'!H58-'3. Tulud-kulud projektita'!H58</f>
        <v>33264</v>
      </c>
      <c r="I58" s="11">
        <f>'2. Tulud-kulud projektiga'!I58-'3. Tulud-kulud projektita'!I58</f>
        <v>33264</v>
      </c>
      <c r="J58" s="11">
        <f>'2. Tulud-kulud projektiga'!J58-'3. Tulud-kulud projektita'!J58</f>
        <v>33264</v>
      </c>
      <c r="K58" s="11">
        <f>'2. Tulud-kulud projektiga'!K58-'3. Tulud-kulud projektita'!K58</f>
        <v>33264</v>
      </c>
      <c r="L58" s="11">
        <f>'2. Tulud-kulud projektiga'!L58-'3. Tulud-kulud projektita'!L58</f>
        <v>33264</v>
      </c>
      <c r="M58" s="11">
        <f>'2. Tulud-kulud projektiga'!M58-'3. Tulud-kulud projektita'!M58</f>
        <v>33264</v>
      </c>
      <c r="N58" s="11">
        <f>'2. Tulud-kulud projektiga'!N58-'3. Tulud-kulud projektita'!N58</f>
        <v>33264</v>
      </c>
      <c r="O58" s="11">
        <f>'2. Tulud-kulud projektiga'!O58-'3. Tulud-kulud projektita'!O58</f>
        <v>33264</v>
      </c>
      <c r="P58" s="11">
        <f>'2. Tulud-kulud projektiga'!P58-'3. Tulud-kulud projektita'!P58</f>
        <v>33264</v>
      </c>
      <c r="Q58" s="11">
        <f>'2. Tulud-kulud projektiga'!Q58-'3. Tulud-kulud projektita'!Q58</f>
        <v>33264</v>
      </c>
      <c r="R58" s="11">
        <f>'2. Tulud-kulud projektiga'!R58-'3. Tulud-kulud projektita'!R58</f>
        <v>33264</v>
      </c>
      <c r="S58" s="16"/>
      <c r="T58" s="16"/>
      <c r="U58" s="17"/>
    </row>
    <row r="59" spans="1:21" x14ac:dyDescent="0.35">
      <c r="A59" s="817"/>
      <c r="B59" s="50" t="str">
        <f>'2. Tulud-kulud projektiga'!B59</f>
        <v>Filmitööstuse soft landing teenuste juht</v>
      </c>
      <c r="C59" s="51" t="s">
        <v>3</v>
      </c>
      <c r="D59" s="11">
        <f>'2. Tulud-kulud projektiga'!D59-'3. Tulud-kulud projektita'!D59</f>
        <v>0</v>
      </c>
      <c r="E59" s="11">
        <f>'2. Tulud-kulud projektiga'!E59-'3. Tulud-kulud projektita'!E59</f>
        <v>33264</v>
      </c>
      <c r="F59" s="11">
        <f>'2. Tulud-kulud projektiga'!F59-'3. Tulud-kulud projektita'!F59</f>
        <v>33264</v>
      </c>
      <c r="G59" s="11">
        <f>'2. Tulud-kulud projektiga'!G59-'3. Tulud-kulud projektita'!G59</f>
        <v>33264</v>
      </c>
      <c r="H59" s="11">
        <f>'2. Tulud-kulud projektiga'!H59-'3. Tulud-kulud projektita'!H59</f>
        <v>33264</v>
      </c>
      <c r="I59" s="11">
        <f>'2. Tulud-kulud projektiga'!I59-'3. Tulud-kulud projektita'!I59</f>
        <v>33264</v>
      </c>
      <c r="J59" s="11">
        <f>'2. Tulud-kulud projektiga'!J59-'3. Tulud-kulud projektita'!J59</f>
        <v>33264</v>
      </c>
      <c r="K59" s="11">
        <f>'2. Tulud-kulud projektiga'!K59-'3. Tulud-kulud projektita'!K59</f>
        <v>33264</v>
      </c>
      <c r="L59" s="11">
        <f>'2. Tulud-kulud projektiga'!L59-'3. Tulud-kulud projektita'!L59</f>
        <v>33264</v>
      </c>
      <c r="M59" s="11">
        <f>'2. Tulud-kulud projektiga'!M59-'3. Tulud-kulud projektita'!M59</f>
        <v>33264</v>
      </c>
      <c r="N59" s="11">
        <f>'2. Tulud-kulud projektiga'!N59-'3. Tulud-kulud projektita'!N59</f>
        <v>33264</v>
      </c>
      <c r="O59" s="11">
        <f>'2. Tulud-kulud projektiga'!O59-'3. Tulud-kulud projektita'!O59</f>
        <v>33264</v>
      </c>
      <c r="P59" s="11">
        <f>'2. Tulud-kulud projektiga'!P59-'3. Tulud-kulud projektita'!P59</f>
        <v>33264</v>
      </c>
      <c r="Q59" s="11">
        <f>'2. Tulud-kulud projektiga'!Q59-'3. Tulud-kulud projektita'!Q59</f>
        <v>33264</v>
      </c>
      <c r="R59" s="11">
        <f>'2. Tulud-kulud projektiga'!R59-'3. Tulud-kulud projektita'!R59</f>
        <v>33264</v>
      </c>
      <c r="S59" s="16"/>
      <c r="T59" s="16"/>
      <c r="U59" s="17"/>
    </row>
    <row r="60" spans="1:21" hidden="1" x14ac:dyDescent="0.35">
      <c r="A60" s="817"/>
      <c r="B60" s="50">
        <f>'2. Tulud-kulud projektiga'!B60</f>
        <v>0</v>
      </c>
      <c r="C60" s="51" t="s">
        <v>3</v>
      </c>
      <c r="D60" s="11">
        <f>'2. Tulud-kulud projektiga'!D60-'3. Tulud-kulud projektita'!D60</f>
        <v>0</v>
      </c>
      <c r="E60" s="11">
        <f>'2. Tulud-kulud projektiga'!E60-'3. Tulud-kulud projektita'!E60</f>
        <v>0</v>
      </c>
      <c r="F60" s="11">
        <f>'2. Tulud-kulud projektiga'!F60-'3. Tulud-kulud projektita'!F60</f>
        <v>0</v>
      </c>
      <c r="G60" s="11">
        <f>'2. Tulud-kulud projektiga'!G60-'3. Tulud-kulud projektita'!G60</f>
        <v>0</v>
      </c>
      <c r="H60" s="11">
        <f>'2. Tulud-kulud projektiga'!H60-'3. Tulud-kulud projektita'!H60</f>
        <v>0</v>
      </c>
      <c r="I60" s="11">
        <f>'2. Tulud-kulud projektiga'!I60-'3. Tulud-kulud projektita'!I60</f>
        <v>0</v>
      </c>
      <c r="J60" s="11">
        <f>'2. Tulud-kulud projektiga'!J60-'3. Tulud-kulud projektita'!J60</f>
        <v>0</v>
      </c>
      <c r="K60" s="11">
        <f>'2. Tulud-kulud projektiga'!K60-'3. Tulud-kulud projektita'!K60</f>
        <v>0</v>
      </c>
      <c r="L60" s="11">
        <f>'2. Tulud-kulud projektiga'!L60-'3. Tulud-kulud projektita'!L60</f>
        <v>0</v>
      </c>
      <c r="M60" s="11">
        <f>'2. Tulud-kulud projektiga'!M60-'3. Tulud-kulud projektita'!M60</f>
        <v>0</v>
      </c>
      <c r="N60" s="11">
        <f>'2. Tulud-kulud projektiga'!N60-'3. Tulud-kulud projektita'!N60</f>
        <v>0</v>
      </c>
      <c r="O60" s="11">
        <f>'2. Tulud-kulud projektiga'!O60-'3. Tulud-kulud projektita'!O60</f>
        <v>0</v>
      </c>
      <c r="P60" s="11">
        <f>'2. Tulud-kulud projektiga'!P60-'3. Tulud-kulud projektita'!P60</f>
        <v>0</v>
      </c>
      <c r="Q60" s="11">
        <f>'2. Tulud-kulud projektiga'!Q60-'3. Tulud-kulud projektita'!Q60</f>
        <v>0</v>
      </c>
      <c r="R60" s="11">
        <f>'2. Tulud-kulud projektiga'!R60-'3. Tulud-kulud projektita'!R60</f>
        <v>0</v>
      </c>
      <c r="S60" s="16"/>
      <c r="T60" s="16"/>
      <c r="U60" s="17"/>
    </row>
    <row r="61" spans="1:21" hidden="1" x14ac:dyDescent="0.35">
      <c r="A61" s="817"/>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6"/>
      <c r="T61" s="16"/>
      <c r="U61" s="17"/>
    </row>
    <row r="62" spans="1:21" hidden="1" x14ac:dyDescent="0.35">
      <c r="A62" s="817"/>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hidden="1" x14ac:dyDescent="0.35">
      <c r="A63" s="817"/>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hidden="1" x14ac:dyDescent="0.35">
      <c r="A64" s="817"/>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hidden="1" x14ac:dyDescent="0.35">
      <c r="A65" s="817"/>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hidden="1" x14ac:dyDescent="0.35">
      <c r="A66" s="817"/>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hidden="1" x14ac:dyDescent="0.35">
      <c r="A67" s="817"/>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35">
      <c r="A68" s="817"/>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35">
      <c r="A69" s="817"/>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35">
      <c r="A70" s="817"/>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35">
      <c r="A71" s="817"/>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35">
      <c r="A72" s="817"/>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35">
      <c r="A73" s="817"/>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35">
      <c r="A74" s="817"/>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35">
      <c r="A75" s="817"/>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35">
      <c r="A76" s="817"/>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35">
      <c r="A77" s="817"/>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35">
      <c r="A78" s="817"/>
      <c r="B78" s="50" t="s">
        <v>24</v>
      </c>
      <c r="C78" s="51" t="s">
        <v>3</v>
      </c>
      <c r="D78" s="56">
        <f>'2. Tulud-kulud projektiga'!D78-'3. Tulud-kulud projektita'!D78</f>
        <v>16632</v>
      </c>
      <c r="E78" s="56">
        <f>'2. Tulud-kulud projektiga'!E78-'3. Tulud-kulud projektita'!E78</f>
        <v>66528</v>
      </c>
      <c r="F78" s="56">
        <f>'2. Tulud-kulud projektiga'!F78-'3. Tulud-kulud projektita'!F78</f>
        <v>66528</v>
      </c>
      <c r="G78" s="56">
        <f>'2. Tulud-kulud projektiga'!G78-'3. Tulud-kulud projektita'!G78</f>
        <v>66528</v>
      </c>
      <c r="H78" s="56">
        <f>'2. Tulud-kulud projektiga'!H78-'3. Tulud-kulud projektita'!H78</f>
        <v>66528</v>
      </c>
      <c r="I78" s="56">
        <f>'2. Tulud-kulud projektiga'!I78-'3. Tulud-kulud projektita'!I78</f>
        <v>66528</v>
      </c>
      <c r="J78" s="56">
        <f>'2. Tulud-kulud projektiga'!J78-'3. Tulud-kulud projektita'!J78</f>
        <v>66528</v>
      </c>
      <c r="K78" s="56">
        <f>'2. Tulud-kulud projektiga'!K78-'3. Tulud-kulud projektita'!K78</f>
        <v>66528</v>
      </c>
      <c r="L78" s="56">
        <f>'2. Tulud-kulud projektiga'!L78-'3. Tulud-kulud projektita'!L78</f>
        <v>66528</v>
      </c>
      <c r="M78" s="56">
        <f>'2. Tulud-kulud projektiga'!M78-'3. Tulud-kulud projektita'!M78</f>
        <v>66528</v>
      </c>
      <c r="N78" s="56">
        <f>'2. Tulud-kulud projektiga'!N78-'3. Tulud-kulud projektita'!N78</f>
        <v>66528</v>
      </c>
      <c r="O78" s="56">
        <f>'2. Tulud-kulud projektiga'!O78-'3. Tulud-kulud projektita'!O78</f>
        <v>66528</v>
      </c>
      <c r="P78" s="56">
        <f>'2. Tulud-kulud projektiga'!P78-'3. Tulud-kulud projektita'!P78</f>
        <v>66528</v>
      </c>
      <c r="Q78" s="56">
        <f>'2. Tulud-kulud projektiga'!Q78-'3. Tulud-kulud projektita'!Q78</f>
        <v>66528</v>
      </c>
      <c r="R78" s="56">
        <f>'2. Tulud-kulud projektiga'!R78-'3. Tulud-kulud projektita'!R78</f>
        <v>66528</v>
      </c>
      <c r="S78" s="16"/>
      <c r="T78" s="16"/>
      <c r="U78" s="17"/>
    </row>
    <row r="79" spans="1:21" x14ac:dyDescent="0.35">
      <c r="A79" s="817"/>
      <c r="B79" s="50" t="s">
        <v>23</v>
      </c>
      <c r="C79" s="55"/>
      <c r="D79" s="56">
        <f>'2. Tulud-kulud projektiga'!D79-'3. Tulud-kulud projektita'!D79</f>
        <v>5621.616</v>
      </c>
      <c r="E79" s="56">
        <f>'2. Tulud-kulud projektiga'!E79-'3. Tulud-kulud projektita'!E79</f>
        <v>22486.464</v>
      </c>
      <c r="F79" s="56">
        <f>'2. Tulud-kulud projektiga'!F79-'3. Tulud-kulud projektita'!F79</f>
        <v>22486.464</v>
      </c>
      <c r="G79" s="56">
        <f>'2. Tulud-kulud projektiga'!G79-'3. Tulud-kulud projektita'!G79</f>
        <v>22486.464</v>
      </c>
      <c r="H79" s="56">
        <f>'2. Tulud-kulud projektiga'!H79-'3. Tulud-kulud projektita'!H79</f>
        <v>22486.464</v>
      </c>
      <c r="I79" s="56">
        <f>'2. Tulud-kulud projektiga'!I79-'3. Tulud-kulud projektita'!I79</f>
        <v>22486.464</v>
      </c>
      <c r="J79" s="56">
        <f>'2. Tulud-kulud projektiga'!J79-'3. Tulud-kulud projektita'!J79</f>
        <v>22486.464</v>
      </c>
      <c r="K79" s="56">
        <f>'2. Tulud-kulud projektiga'!K79-'3. Tulud-kulud projektita'!K79</f>
        <v>22486.464</v>
      </c>
      <c r="L79" s="56">
        <f>'2. Tulud-kulud projektiga'!L79-'3. Tulud-kulud projektita'!L79</f>
        <v>22486.464</v>
      </c>
      <c r="M79" s="56">
        <f>'2. Tulud-kulud projektiga'!M79-'3. Tulud-kulud projektita'!M79</f>
        <v>22486.464</v>
      </c>
      <c r="N79" s="56">
        <f>'2. Tulud-kulud projektiga'!N79-'3. Tulud-kulud projektita'!N79</f>
        <v>22486.464</v>
      </c>
      <c r="O79" s="56">
        <f>'2. Tulud-kulud projektiga'!O79-'3. Tulud-kulud projektita'!O79</f>
        <v>22486.464</v>
      </c>
      <c r="P79" s="56">
        <f>'2. Tulud-kulud projektiga'!P79-'3. Tulud-kulud projektita'!P79</f>
        <v>22486.464</v>
      </c>
      <c r="Q79" s="56">
        <f>'2. Tulud-kulud projektiga'!Q79-'3. Tulud-kulud projektita'!Q79</f>
        <v>22486.464</v>
      </c>
      <c r="R79" s="56">
        <f>'2. Tulud-kulud projektiga'!R79-'3. Tulud-kulud projektita'!R79</f>
        <v>22486.464</v>
      </c>
      <c r="S79" s="16"/>
      <c r="T79" s="16"/>
      <c r="U79" s="17"/>
    </row>
    <row r="80" spans="1:21" x14ac:dyDescent="0.35">
      <c r="A80" s="818" t="s">
        <v>25</v>
      </c>
      <c r="B80" s="819"/>
      <c r="C80" s="49"/>
      <c r="D80" s="59">
        <f>'2. Tulud-kulud projektiga'!D80-'3. Tulud-kulud projektita'!D80</f>
        <v>22253.616000000002</v>
      </c>
      <c r="E80" s="59">
        <f>'2. Tulud-kulud projektiga'!E80-'3. Tulud-kulud projektita'!E80</f>
        <v>89014.464000000007</v>
      </c>
      <c r="F80" s="59">
        <f>'2. Tulud-kulud projektiga'!F80-'3. Tulud-kulud projektita'!F80</f>
        <v>89014.464000000007</v>
      </c>
      <c r="G80" s="59">
        <f>'2. Tulud-kulud projektiga'!G80-'3. Tulud-kulud projektita'!G80</f>
        <v>89014.464000000007</v>
      </c>
      <c r="H80" s="59">
        <f>'2. Tulud-kulud projektiga'!H80-'3. Tulud-kulud projektita'!H80</f>
        <v>89014.464000000007</v>
      </c>
      <c r="I80" s="59">
        <f>'2. Tulud-kulud projektiga'!I80-'3. Tulud-kulud projektita'!I80</f>
        <v>89014.464000000007</v>
      </c>
      <c r="J80" s="59">
        <f>'2. Tulud-kulud projektiga'!J80-'3. Tulud-kulud projektita'!J80</f>
        <v>89014.464000000007</v>
      </c>
      <c r="K80" s="59">
        <f>'2. Tulud-kulud projektiga'!K80-'3. Tulud-kulud projektita'!K80</f>
        <v>89014.464000000007</v>
      </c>
      <c r="L80" s="59">
        <f>'2. Tulud-kulud projektiga'!L80-'3. Tulud-kulud projektita'!L80</f>
        <v>89014.464000000007</v>
      </c>
      <c r="M80" s="59">
        <f>'2. Tulud-kulud projektiga'!M80-'3. Tulud-kulud projektita'!M80</f>
        <v>89014.464000000007</v>
      </c>
      <c r="N80" s="59">
        <f>'2. Tulud-kulud projektiga'!N80-'3. Tulud-kulud projektita'!N80</f>
        <v>89014.464000000007</v>
      </c>
      <c r="O80" s="59">
        <f>'2. Tulud-kulud projektiga'!O80-'3. Tulud-kulud projektita'!O80</f>
        <v>89014.464000000007</v>
      </c>
      <c r="P80" s="59">
        <f>'2. Tulud-kulud projektiga'!P80-'3. Tulud-kulud projektita'!P80</f>
        <v>89014.464000000007</v>
      </c>
      <c r="Q80" s="59">
        <f>'2. Tulud-kulud projektiga'!Q80-'3. Tulud-kulud projektita'!Q80</f>
        <v>89014.464000000007</v>
      </c>
      <c r="R80" s="59">
        <f>'2. Tulud-kulud projektiga'!R80-'3. Tulud-kulud projektita'!R80</f>
        <v>89014.464000000007</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817"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32493.173173439995</v>
      </c>
      <c r="G82" s="11">
        <f>'2. Tulud-kulud projektiga'!G82-'3. Tulud-kulud projektita'!G82</f>
        <v>64986.346346879989</v>
      </c>
      <c r="H82" s="11">
        <f>'2. Tulud-kulud projektiga'!H82-'3. Tulud-kulud projektita'!H82</f>
        <v>64986.346346879989</v>
      </c>
      <c r="I82" s="11">
        <f>'2. Tulud-kulud projektiga'!I82-'3. Tulud-kulud projektita'!I82</f>
        <v>64986.346346880004</v>
      </c>
      <c r="J82" s="11">
        <f>'2. Tulud-kulud projektiga'!J82-'3. Tulud-kulud projektita'!J82</f>
        <v>64986.346346880004</v>
      </c>
      <c r="K82" s="11">
        <f>'2. Tulud-kulud projektiga'!K82-'3. Tulud-kulud projektita'!K82</f>
        <v>64986.346346880004</v>
      </c>
      <c r="L82" s="11">
        <f>'2. Tulud-kulud projektiga'!L82-'3. Tulud-kulud projektita'!L82</f>
        <v>64986.346346880004</v>
      </c>
      <c r="M82" s="11">
        <f>'2. Tulud-kulud projektiga'!M82-'3. Tulud-kulud projektita'!M82</f>
        <v>64986.346346879989</v>
      </c>
      <c r="N82" s="11">
        <f>'2. Tulud-kulud projektiga'!N82-'3. Tulud-kulud projektita'!N82</f>
        <v>64986.346346879989</v>
      </c>
      <c r="O82" s="11">
        <f>'2. Tulud-kulud projektiga'!O82-'3. Tulud-kulud projektita'!O82</f>
        <v>64986.346346879989</v>
      </c>
      <c r="P82" s="11">
        <f>'2. Tulud-kulud projektiga'!P82-'3. Tulud-kulud projektita'!P82</f>
        <v>64986.346346879989</v>
      </c>
      <c r="Q82" s="11">
        <f>'2. Tulud-kulud projektiga'!Q82-'3. Tulud-kulud projektita'!Q82</f>
        <v>64986.346346879989</v>
      </c>
      <c r="R82" s="11">
        <f>'2. Tulud-kulud projektiga'!R82-'3. Tulud-kulud projektita'!R82</f>
        <v>64986.346346879989</v>
      </c>
      <c r="S82" s="16"/>
      <c r="T82" s="16"/>
      <c r="U82" s="17"/>
    </row>
    <row r="83" spans="1:21" x14ac:dyDescent="0.35">
      <c r="A83" s="817"/>
      <c r="B83" s="50" t="str">
        <f>'2. Tulud-kulud projektiga'!B83</f>
        <v>Elekter</v>
      </c>
      <c r="C83" s="51" t="s">
        <v>3</v>
      </c>
      <c r="D83" s="11">
        <f>'2. Tulud-kulud projektiga'!D83-'3. Tulud-kulud projektita'!D83</f>
        <v>0</v>
      </c>
      <c r="E83" s="11">
        <f>'2. Tulud-kulud projektiga'!E83-'3. Tulud-kulud projektita'!E83</f>
        <v>0</v>
      </c>
      <c r="F83" s="11">
        <f>'2. Tulud-kulud projektiga'!F83-'3. Tulud-kulud projektita'!F83</f>
        <v>2177.9658333333341</v>
      </c>
      <c r="G83" s="11">
        <f>'2. Tulud-kulud projektiga'!G83-'3. Tulud-kulud projektita'!G83</f>
        <v>6533.8975000000019</v>
      </c>
      <c r="H83" s="11">
        <f>'2. Tulud-kulud projektiga'!H83-'3. Tulud-kulud projektita'!H83</f>
        <v>6533.8975000000019</v>
      </c>
      <c r="I83" s="11">
        <f>'2. Tulud-kulud projektiga'!I83-'3. Tulud-kulud projektita'!I83</f>
        <v>13067.795000000004</v>
      </c>
      <c r="J83" s="11">
        <f>'2. Tulud-kulud projektiga'!J83-'3. Tulud-kulud projektita'!J83</f>
        <v>13067.795000000004</v>
      </c>
      <c r="K83" s="11">
        <f>'2. Tulud-kulud projektiga'!K83-'3. Tulud-kulud projektita'!K83</f>
        <v>13067.795000000004</v>
      </c>
      <c r="L83" s="11">
        <f>'2. Tulud-kulud projektiga'!L83-'3. Tulud-kulud projektita'!L83</f>
        <v>13067.795000000004</v>
      </c>
      <c r="M83" s="11">
        <f>'2. Tulud-kulud projektiga'!M83-'3. Tulud-kulud projektita'!M83</f>
        <v>19601.692500000008</v>
      </c>
      <c r="N83" s="11">
        <f>'2. Tulud-kulud projektiga'!N83-'3. Tulud-kulud projektita'!N83</f>
        <v>19601.692500000008</v>
      </c>
      <c r="O83" s="11">
        <f>'2. Tulud-kulud projektiga'!O83-'3. Tulud-kulud projektita'!O83</f>
        <v>19601.692500000008</v>
      </c>
      <c r="P83" s="11">
        <f>'2. Tulud-kulud projektiga'!P83-'3. Tulud-kulud projektita'!P83</f>
        <v>19601.692500000008</v>
      </c>
      <c r="Q83" s="11">
        <f>'2. Tulud-kulud projektiga'!Q83-'3. Tulud-kulud projektita'!Q83</f>
        <v>19601.692500000008</v>
      </c>
      <c r="R83" s="11">
        <f>'2. Tulud-kulud projektiga'!R83-'3. Tulud-kulud projektita'!R83</f>
        <v>19601.692500000008</v>
      </c>
      <c r="S83" s="16"/>
      <c r="T83" s="16"/>
      <c r="U83" s="17"/>
    </row>
    <row r="84" spans="1:21" x14ac:dyDescent="0.35">
      <c r="A84" s="817"/>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1045.8880068000005</v>
      </c>
      <c r="G84" s="11">
        <f>'2. Tulud-kulud projektiga'!G84-'3. Tulud-kulud projektita'!G84</f>
        <v>3137.6640204000014</v>
      </c>
      <c r="H84" s="11">
        <f>'2. Tulud-kulud projektiga'!H84-'3. Tulud-kulud projektita'!H84</f>
        <v>3137.6640204000014</v>
      </c>
      <c r="I84" s="11">
        <f>'2. Tulud-kulud projektiga'!I84-'3. Tulud-kulud projektita'!I84</f>
        <v>6275.3280408000028</v>
      </c>
      <c r="J84" s="11">
        <f>'2. Tulud-kulud projektiga'!J84-'3. Tulud-kulud projektita'!J84</f>
        <v>6275.3280408000028</v>
      </c>
      <c r="K84" s="11">
        <f>'2. Tulud-kulud projektiga'!K84-'3. Tulud-kulud projektita'!K84</f>
        <v>6275.3280408000028</v>
      </c>
      <c r="L84" s="11">
        <f>'2. Tulud-kulud projektiga'!L84-'3. Tulud-kulud projektita'!L84</f>
        <v>6275.3280408000028</v>
      </c>
      <c r="M84" s="11">
        <f>'2. Tulud-kulud projektiga'!M84-'3. Tulud-kulud projektita'!M84</f>
        <v>9412.9920612000024</v>
      </c>
      <c r="N84" s="11">
        <f>'2. Tulud-kulud projektiga'!N84-'3. Tulud-kulud projektita'!N84</f>
        <v>9412.9920612000024</v>
      </c>
      <c r="O84" s="11">
        <f>'2. Tulud-kulud projektiga'!O84-'3. Tulud-kulud projektita'!O84</f>
        <v>9412.9920612000024</v>
      </c>
      <c r="P84" s="11">
        <f>'2. Tulud-kulud projektiga'!P84-'3. Tulud-kulud projektita'!P84</f>
        <v>9412.9920612000024</v>
      </c>
      <c r="Q84" s="11">
        <f>'2. Tulud-kulud projektiga'!Q84-'3. Tulud-kulud projektita'!Q84</f>
        <v>9412.9920612000024</v>
      </c>
      <c r="R84" s="11">
        <f>'2. Tulud-kulud projektiga'!R84-'3. Tulud-kulud projektita'!R84</f>
        <v>9412.9920612000024</v>
      </c>
      <c r="S84" s="16"/>
      <c r="T84" s="16"/>
      <c r="U84" s="17"/>
    </row>
    <row r="85" spans="1:21" x14ac:dyDescent="0.35">
      <c r="A85" s="817"/>
      <c r="B85" s="50" t="str">
        <f>'2. Tulud-kulud projektiga'!B85</f>
        <v>Tehnohooldus</v>
      </c>
      <c r="C85" s="51" t="s">
        <v>3</v>
      </c>
      <c r="D85" s="11">
        <f>'2. Tulud-kulud projektiga'!D85-'3. Tulud-kulud projektita'!D85</f>
        <v>0</v>
      </c>
      <c r="E85" s="11">
        <f>'2. Tulud-kulud projektiga'!E85-'3. Tulud-kulud projektita'!E85</f>
        <v>0</v>
      </c>
      <c r="F85" s="11">
        <f>'2. Tulud-kulud projektiga'!F85-'3. Tulud-kulud projektita'!F85</f>
        <v>7000</v>
      </c>
      <c r="G85" s="11">
        <f>'2. Tulud-kulud projektiga'!G85-'3. Tulud-kulud projektita'!G85</f>
        <v>21000</v>
      </c>
      <c r="H85" s="11">
        <f>'2. Tulud-kulud projektiga'!H85-'3. Tulud-kulud projektita'!H85</f>
        <v>21000</v>
      </c>
      <c r="I85" s="11">
        <f>'2. Tulud-kulud projektiga'!I85-'3. Tulud-kulud projektita'!I85</f>
        <v>21000</v>
      </c>
      <c r="J85" s="11">
        <f>'2. Tulud-kulud projektiga'!J85-'3. Tulud-kulud projektita'!J85</f>
        <v>21000</v>
      </c>
      <c r="K85" s="11">
        <f>'2. Tulud-kulud projektiga'!K85-'3. Tulud-kulud projektita'!K85</f>
        <v>21000</v>
      </c>
      <c r="L85" s="11">
        <f>'2. Tulud-kulud projektiga'!L85-'3. Tulud-kulud projektita'!L85</f>
        <v>21000</v>
      </c>
      <c r="M85" s="11">
        <f>'2. Tulud-kulud projektiga'!M85-'3. Tulud-kulud projektita'!M85</f>
        <v>21000</v>
      </c>
      <c r="N85" s="11">
        <f>'2. Tulud-kulud projektiga'!N85-'3. Tulud-kulud projektita'!N85</f>
        <v>21000</v>
      </c>
      <c r="O85" s="11">
        <f>'2. Tulud-kulud projektiga'!O85-'3. Tulud-kulud projektita'!O85</f>
        <v>21000</v>
      </c>
      <c r="P85" s="11">
        <f>'2. Tulud-kulud projektiga'!P85-'3. Tulud-kulud projektita'!P85</f>
        <v>21000</v>
      </c>
      <c r="Q85" s="11">
        <f>'2. Tulud-kulud projektiga'!Q85-'3. Tulud-kulud projektita'!Q85</f>
        <v>21000</v>
      </c>
      <c r="R85" s="11">
        <f>'2. Tulud-kulud projektiga'!R85-'3. Tulud-kulud projektita'!R85</f>
        <v>21000</v>
      </c>
      <c r="S85" s="16"/>
      <c r="T85" s="16"/>
      <c r="U85" s="17"/>
    </row>
    <row r="86" spans="1:21" x14ac:dyDescent="0.35">
      <c r="A86" s="817"/>
      <c r="B86" s="50" t="str">
        <f>'2. Tulud-kulud projektiga'!B86</f>
        <v>Hooldus (hooned)</v>
      </c>
      <c r="C86" s="51" t="s">
        <v>3</v>
      </c>
      <c r="D86" s="11">
        <f>'2. Tulud-kulud projektiga'!D86-'3. Tulud-kulud projektita'!D86</f>
        <v>0</v>
      </c>
      <c r="E86" s="11">
        <f>'2. Tulud-kulud projektiga'!E86-'3. Tulud-kulud projektita'!E86</f>
        <v>0</v>
      </c>
      <c r="F86" s="11">
        <f>'2. Tulud-kulud projektiga'!F86-'3. Tulud-kulud projektita'!F86</f>
        <v>11000</v>
      </c>
      <c r="G86" s="11">
        <f>'2. Tulud-kulud projektiga'!G86-'3. Tulud-kulud projektita'!G86</f>
        <v>33000</v>
      </c>
      <c r="H86" s="11">
        <f>'2. Tulud-kulud projektiga'!H86-'3. Tulud-kulud projektita'!H86</f>
        <v>33000</v>
      </c>
      <c r="I86" s="11">
        <f>'2. Tulud-kulud projektiga'!I86-'3. Tulud-kulud projektita'!I86</f>
        <v>33000</v>
      </c>
      <c r="J86" s="11">
        <f>'2. Tulud-kulud projektiga'!J86-'3. Tulud-kulud projektita'!J86</f>
        <v>33000</v>
      </c>
      <c r="K86" s="11">
        <f>'2. Tulud-kulud projektiga'!K86-'3. Tulud-kulud projektita'!K86</f>
        <v>33000</v>
      </c>
      <c r="L86" s="11">
        <f>'2. Tulud-kulud projektiga'!L86-'3. Tulud-kulud projektita'!L86</f>
        <v>33000</v>
      </c>
      <c r="M86" s="11">
        <f>'2. Tulud-kulud projektiga'!M86-'3. Tulud-kulud projektita'!M86</f>
        <v>33000</v>
      </c>
      <c r="N86" s="11">
        <f>'2. Tulud-kulud projektiga'!N86-'3. Tulud-kulud projektita'!N86</f>
        <v>33000</v>
      </c>
      <c r="O86" s="11">
        <f>'2. Tulud-kulud projektiga'!O86-'3. Tulud-kulud projektita'!O86</f>
        <v>33000</v>
      </c>
      <c r="P86" s="11">
        <f>'2. Tulud-kulud projektiga'!P86-'3. Tulud-kulud projektita'!P86</f>
        <v>33000</v>
      </c>
      <c r="Q86" s="11">
        <f>'2. Tulud-kulud projektiga'!Q86-'3. Tulud-kulud projektita'!Q86</f>
        <v>33000</v>
      </c>
      <c r="R86" s="11">
        <f>'2. Tulud-kulud projektiga'!R86-'3. Tulud-kulud projektita'!R86</f>
        <v>33000</v>
      </c>
      <c r="S86" s="16"/>
      <c r="T86" s="16"/>
      <c r="U86" s="17"/>
    </row>
    <row r="87" spans="1:21" x14ac:dyDescent="0.35">
      <c r="A87" s="817"/>
      <c r="B87" s="50" t="str">
        <f>'2. Tulud-kulud projektiga'!B87</f>
        <v>Hooldus (territoorium)</v>
      </c>
      <c r="C87" s="51" t="s">
        <v>3</v>
      </c>
      <c r="D87" s="11">
        <f>'2. Tulud-kulud projektiga'!D87-'3. Tulud-kulud projektita'!D87</f>
        <v>0</v>
      </c>
      <c r="E87" s="11">
        <f>'2. Tulud-kulud projektiga'!E87-'3. Tulud-kulud projektita'!E87</f>
        <v>0</v>
      </c>
      <c r="F87" s="11">
        <f>'2. Tulud-kulud projektiga'!F87-'3. Tulud-kulud projektita'!F87</f>
        <v>7478</v>
      </c>
      <c r="G87" s="11">
        <f>'2. Tulud-kulud projektiga'!G87-'3. Tulud-kulud projektita'!G87</f>
        <v>22434</v>
      </c>
      <c r="H87" s="11">
        <f>'2. Tulud-kulud projektiga'!H87-'3. Tulud-kulud projektita'!H87</f>
        <v>22434</v>
      </c>
      <c r="I87" s="11">
        <f>'2. Tulud-kulud projektiga'!I87-'3. Tulud-kulud projektita'!I87</f>
        <v>22434</v>
      </c>
      <c r="J87" s="11">
        <f>'2. Tulud-kulud projektiga'!J87-'3. Tulud-kulud projektita'!J87</f>
        <v>22434</v>
      </c>
      <c r="K87" s="11">
        <f>'2. Tulud-kulud projektiga'!K87-'3. Tulud-kulud projektita'!K87</f>
        <v>22434</v>
      </c>
      <c r="L87" s="11">
        <f>'2. Tulud-kulud projektiga'!L87-'3. Tulud-kulud projektita'!L87</f>
        <v>22434</v>
      </c>
      <c r="M87" s="11">
        <f>'2. Tulud-kulud projektiga'!M87-'3. Tulud-kulud projektita'!M87</f>
        <v>22434</v>
      </c>
      <c r="N87" s="11">
        <f>'2. Tulud-kulud projektiga'!N87-'3. Tulud-kulud projektita'!N87</f>
        <v>22434</v>
      </c>
      <c r="O87" s="11">
        <f>'2. Tulud-kulud projektiga'!O87-'3. Tulud-kulud projektita'!O87</f>
        <v>22434</v>
      </c>
      <c r="P87" s="11">
        <f>'2. Tulud-kulud projektiga'!P87-'3. Tulud-kulud projektita'!P87</f>
        <v>22434</v>
      </c>
      <c r="Q87" s="11">
        <f>'2. Tulud-kulud projektiga'!Q87-'3. Tulud-kulud projektita'!Q87</f>
        <v>22434</v>
      </c>
      <c r="R87" s="11">
        <f>'2. Tulud-kulud projektiga'!R87-'3. Tulud-kulud projektita'!R87</f>
        <v>22434</v>
      </c>
      <c r="S87" s="16"/>
      <c r="T87" s="16"/>
      <c r="U87" s="17"/>
    </row>
    <row r="88" spans="1:21" hidden="1" x14ac:dyDescent="0.35">
      <c r="A88" s="817"/>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6"/>
      <c r="T88" s="16"/>
      <c r="U88" s="17"/>
    </row>
    <row r="89" spans="1:21" hidden="1" x14ac:dyDescent="0.35">
      <c r="A89" s="817"/>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hidden="1" x14ac:dyDescent="0.35">
      <c r="A90" s="817"/>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hidden="1" x14ac:dyDescent="0.35">
      <c r="A91" s="817"/>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818" t="str">
        <f>'2. Tulud-kulud projektiga'!A92:B92</f>
        <v>Halduskulud kokku</v>
      </c>
      <c r="B92" s="819"/>
      <c r="C92" s="49"/>
      <c r="D92" s="59">
        <f>'2. Tulud-kulud projektiga'!D92-'3. Tulud-kulud projektita'!D92</f>
        <v>0</v>
      </c>
      <c r="E92" s="59">
        <f>'2. Tulud-kulud projektiga'!E92-'3. Tulud-kulud projektita'!E92</f>
        <v>0</v>
      </c>
      <c r="F92" s="59">
        <f>'2. Tulud-kulud projektiga'!F92-'3. Tulud-kulud projektita'!F92</f>
        <v>61195.02701357333</v>
      </c>
      <c r="G92" s="59">
        <f>'2. Tulud-kulud projektiga'!G92-'3. Tulud-kulud projektita'!G92</f>
        <v>151091.90786728001</v>
      </c>
      <c r="H92" s="59">
        <f>'2. Tulud-kulud projektiga'!H92-'3. Tulud-kulud projektita'!H92</f>
        <v>151091.90786728001</v>
      </c>
      <c r="I92" s="59">
        <f>'2. Tulud-kulud projektiga'!I92-'3. Tulud-kulud projektita'!I92</f>
        <v>160763.46938768</v>
      </c>
      <c r="J92" s="59">
        <f>'2. Tulud-kulud projektiga'!J92-'3. Tulud-kulud projektita'!J92</f>
        <v>160763.46938768</v>
      </c>
      <c r="K92" s="59">
        <f>'2. Tulud-kulud projektiga'!K92-'3. Tulud-kulud projektita'!K92</f>
        <v>160763.46938768</v>
      </c>
      <c r="L92" s="59">
        <f>'2. Tulud-kulud projektiga'!L92-'3. Tulud-kulud projektita'!L92</f>
        <v>160763.46938768</v>
      </c>
      <c r="M92" s="59">
        <f>'2. Tulud-kulud projektiga'!M92-'3. Tulud-kulud projektita'!M92</f>
        <v>170435.03090807999</v>
      </c>
      <c r="N92" s="59">
        <f>'2. Tulud-kulud projektiga'!N92-'3. Tulud-kulud projektita'!N92</f>
        <v>170435.03090807999</v>
      </c>
      <c r="O92" s="59">
        <f>'2. Tulud-kulud projektiga'!O92-'3. Tulud-kulud projektita'!O92</f>
        <v>170435.03090807999</v>
      </c>
      <c r="P92" s="59">
        <f>'2. Tulud-kulud projektiga'!P92-'3. Tulud-kulud projektita'!P92</f>
        <v>170435.03090807999</v>
      </c>
      <c r="Q92" s="59">
        <f>'2. Tulud-kulud projektiga'!Q92-'3. Tulud-kulud projektita'!Q92</f>
        <v>170435.03090807999</v>
      </c>
      <c r="R92" s="59">
        <f>'2. Tulud-kulud projektiga'!R92-'3. Tulud-kulud projektita'!R92</f>
        <v>170435.03090807999</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825" t="str">
        <f>'2. Tulud-kulud projektiga'!A94:A103</f>
        <v>Turunduskulud</v>
      </c>
      <c r="B94" s="50" t="str">
        <f>'2. Tulud-kulud projektiga'!B94</f>
        <v>Turundus</v>
      </c>
      <c r="C94" s="51" t="s">
        <v>3</v>
      </c>
      <c r="D94" s="11">
        <f>'2. Tulud-kulud projektiga'!D94-'3. Tulud-kulud projektita'!D94</f>
        <v>0</v>
      </c>
      <c r="E94" s="11">
        <f>'2. Tulud-kulud projektiga'!E94-'3. Tulud-kulud projektita'!E94</f>
        <v>0</v>
      </c>
      <c r="F94" s="11">
        <f>'2. Tulud-kulud projektiga'!F94-'3. Tulud-kulud projektita'!F94</f>
        <v>18333.333333333332</v>
      </c>
      <c r="G94" s="11">
        <f>'2. Tulud-kulud projektiga'!G94-'3. Tulud-kulud projektita'!G94</f>
        <v>55000</v>
      </c>
      <c r="H94" s="11">
        <f>'2. Tulud-kulud projektiga'!H94-'3. Tulud-kulud projektita'!H94</f>
        <v>55000</v>
      </c>
      <c r="I94" s="11">
        <f>'2. Tulud-kulud projektiga'!I94-'3. Tulud-kulud projektita'!I94</f>
        <v>55000</v>
      </c>
      <c r="J94" s="11">
        <f>'2. Tulud-kulud projektiga'!J94-'3. Tulud-kulud projektita'!J94</f>
        <v>55000</v>
      </c>
      <c r="K94" s="11">
        <f>'2. Tulud-kulud projektiga'!K94-'3. Tulud-kulud projektita'!K94</f>
        <v>55000</v>
      </c>
      <c r="L94" s="11">
        <f>'2. Tulud-kulud projektiga'!L94-'3. Tulud-kulud projektita'!L94</f>
        <v>55000</v>
      </c>
      <c r="M94" s="11">
        <f>'2. Tulud-kulud projektiga'!M94-'3. Tulud-kulud projektita'!M94</f>
        <v>55000</v>
      </c>
      <c r="N94" s="11">
        <f>'2. Tulud-kulud projektiga'!N94-'3. Tulud-kulud projektita'!N94</f>
        <v>55000</v>
      </c>
      <c r="O94" s="11">
        <f>'2. Tulud-kulud projektiga'!O94-'3. Tulud-kulud projektita'!O94</f>
        <v>55000</v>
      </c>
      <c r="P94" s="11">
        <f>'2. Tulud-kulud projektiga'!P94-'3. Tulud-kulud projektita'!P94</f>
        <v>55000</v>
      </c>
      <c r="Q94" s="11">
        <f>'2. Tulud-kulud projektiga'!Q94-'3. Tulud-kulud projektita'!Q94</f>
        <v>55000</v>
      </c>
      <c r="R94" s="11">
        <f>'2. Tulud-kulud projektiga'!R94-'3. Tulud-kulud projektita'!R94</f>
        <v>55000</v>
      </c>
      <c r="S94" s="16"/>
      <c r="T94" s="16"/>
      <c r="U94" s="17"/>
    </row>
    <row r="95" spans="1:21" hidden="1" x14ac:dyDescent="0.35">
      <c r="A95" s="826"/>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hidden="1" x14ac:dyDescent="0.35">
      <c r="A96" s="826"/>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hidden="1" x14ac:dyDescent="0.35">
      <c r="A97" s="826"/>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hidden="1" x14ac:dyDescent="0.35">
      <c r="A98" s="826"/>
      <c r="B98" s="50">
        <f>'2. Tulud-kulud projektiga'!B98</f>
        <v>0</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826"/>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826"/>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826"/>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826"/>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827"/>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818" t="str">
        <f>'2. Tulud-kulud projektiga'!A104:B104</f>
        <v>Turunduskulud kokku</v>
      </c>
      <c r="B104" s="819"/>
      <c r="C104" s="49"/>
      <c r="D104" s="59">
        <f>'2. Tulud-kulud projektiga'!D104-'3. Tulud-kulud projektita'!D104</f>
        <v>0</v>
      </c>
      <c r="E104" s="59">
        <f>'2. Tulud-kulud projektiga'!E104-'3. Tulud-kulud projektita'!E104</f>
        <v>0</v>
      </c>
      <c r="F104" s="59">
        <f>'2. Tulud-kulud projektiga'!F104-'3. Tulud-kulud projektita'!F104</f>
        <v>18333.333333333332</v>
      </c>
      <c r="G104" s="59">
        <f>'2. Tulud-kulud projektiga'!G104-'3. Tulud-kulud projektita'!G104</f>
        <v>55000</v>
      </c>
      <c r="H104" s="59">
        <f>'2. Tulud-kulud projektiga'!H104-'3. Tulud-kulud projektita'!H104</f>
        <v>55000</v>
      </c>
      <c r="I104" s="59">
        <f>'2. Tulud-kulud projektiga'!I104-'3. Tulud-kulud projektita'!I104</f>
        <v>55000</v>
      </c>
      <c r="J104" s="59">
        <f>'2. Tulud-kulud projektiga'!J104-'3. Tulud-kulud projektita'!J104</f>
        <v>55000</v>
      </c>
      <c r="K104" s="59">
        <f>'2. Tulud-kulud projektiga'!K104-'3. Tulud-kulud projektita'!K104</f>
        <v>55000</v>
      </c>
      <c r="L104" s="59">
        <f>'2. Tulud-kulud projektiga'!L104-'3. Tulud-kulud projektita'!L104</f>
        <v>55000</v>
      </c>
      <c r="M104" s="59">
        <f>'2. Tulud-kulud projektiga'!M104-'3. Tulud-kulud projektita'!M104</f>
        <v>55000</v>
      </c>
      <c r="N104" s="59">
        <f>'2. Tulud-kulud projektiga'!N104-'3. Tulud-kulud projektita'!N104</f>
        <v>55000</v>
      </c>
      <c r="O104" s="59">
        <f>'2. Tulud-kulud projektiga'!O104-'3. Tulud-kulud projektita'!O104</f>
        <v>55000</v>
      </c>
      <c r="P104" s="59">
        <f>'2. Tulud-kulud projektiga'!P104-'3. Tulud-kulud projektita'!P104</f>
        <v>55000</v>
      </c>
      <c r="Q104" s="59">
        <f>'2. Tulud-kulud projektiga'!Q104-'3. Tulud-kulud projektita'!Q104</f>
        <v>55000</v>
      </c>
      <c r="R104" s="59">
        <f>'2. Tulud-kulud projektiga'!R104-'3. Tulud-kulud projektita'!R104</f>
        <v>55000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824" t="str">
        <f>'2. Tulud-kulud projektiga'!A106:B106</f>
        <v>Remonditööd</v>
      </c>
      <c r="B106" s="824"/>
      <c r="C106" s="51" t="s">
        <v>3</v>
      </c>
      <c r="D106" s="11">
        <f>'2. Tulud-kulud projektiga'!D106-'3. Tulud-kulud projektita'!D106</f>
        <v>0</v>
      </c>
      <c r="E106" s="11">
        <f>'2. Tulud-kulud projektiga'!E106-'3. Tulud-kulud projektita'!E106</f>
        <v>0</v>
      </c>
      <c r="F106" s="11">
        <f>'2. Tulud-kulud projektiga'!F106-'3. Tulud-kulud projektita'!F106</f>
        <v>9000</v>
      </c>
      <c r="G106" s="11">
        <f>'2. Tulud-kulud projektiga'!G106-'3. Tulud-kulud projektita'!G106</f>
        <v>27000</v>
      </c>
      <c r="H106" s="11">
        <f>'2. Tulud-kulud projektiga'!H106-'3. Tulud-kulud projektita'!H106</f>
        <v>27000</v>
      </c>
      <c r="I106" s="11">
        <f>'2. Tulud-kulud projektiga'!I106-'3. Tulud-kulud projektita'!I106</f>
        <v>27000</v>
      </c>
      <c r="J106" s="11">
        <f>'2. Tulud-kulud projektiga'!J106-'3. Tulud-kulud projektita'!J106</f>
        <v>27000</v>
      </c>
      <c r="K106" s="11">
        <f>'2. Tulud-kulud projektiga'!K106-'3. Tulud-kulud projektita'!K106</f>
        <v>27000</v>
      </c>
      <c r="L106" s="11">
        <f>'2. Tulud-kulud projektiga'!L106-'3. Tulud-kulud projektita'!L106</f>
        <v>27000</v>
      </c>
      <c r="M106" s="11">
        <f>'2. Tulud-kulud projektiga'!M106-'3. Tulud-kulud projektita'!M106</f>
        <v>27000</v>
      </c>
      <c r="N106" s="11">
        <f>'2. Tulud-kulud projektiga'!N106-'3. Tulud-kulud projektita'!N106</f>
        <v>27000</v>
      </c>
      <c r="O106" s="11">
        <f>'2. Tulud-kulud projektiga'!O106-'3. Tulud-kulud projektita'!O106</f>
        <v>27000</v>
      </c>
      <c r="P106" s="11">
        <f>'2. Tulud-kulud projektiga'!P106-'3. Tulud-kulud projektita'!P106</f>
        <v>27000</v>
      </c>
      <c r="Q106" s="11">
        <f>'2. Tulud-kulud projektiga'!Q106-'3. Tulud-kulud projektita'!Q106</f>
        <v>27000</v>
      </c>
      <c r="R106" s="11">
        <f>'2. Tulud-kulud projektiga'!R106-'3. Tulud-kulud projektita'!R106</f>
        <v>27000</v>
      </c>
      <c r="S106" s="16"/>
      <c r="T106" s="16"/>
      <c r="U106" s="17"/>
    </row>
    <row r="107" spans="1:21" ht="16.5" customHeight="1" x14ac:dyDescent="0.35">
      <c r="A107" s="824" t="str">
        <f>'2. Tulud-kulud projektiga'!A107:B107</f>
        <v>Valve</v>
      </c>
      <c r="B107" s="824"/>
      <c r="C107" s="51" t="s">
        <v>3</v>
      </c>
      <c r="D107" s="11">
        <f>'2. Tulud-kulud projektiga'!D107-'3. Tulud-kulud projektita'!D107</f>
        <v>0</v>
      </c>
      <c r="E107" s="11">
        <f>'2. Tulud-kulud projektiga'!E107-'3. Tulud-kulud projektita'!E107</f>
        <v>0</v>
      </c>
      <c r="F107" s="11">
        <f>'2. Tulud-kulud projektiga'!F107-'3. Tulud-kulud projektita'!F107</f>
        <v>4000</v>
      </c>
      <c r="G107" s="11">
        <f>'2. Tulud-kulud projektiga'!G107-'3. Tulud-kulud projektita'!G107</f>
        <v>12000</v>
      </c>
      <c r="H107" s="11">
        <f>'2. Tulud-kulud projektiga'!H107-'3. Tulud-kulud projektita'!H107</f>
        <v>12000</v>
      </c>
      <c r="I107" s="11">
        <f>'2. Tulud-kulud projektiga'!I107-'3. Tulud-kulud projektita'!I107</f>
        <v>12000</v>
      </c>
      <c r="J107" s="11">
        <f>'2. Tulud-kulud projektiga'!J107-'3. Tulud-kulud projektita'!J107</f>
        <v>12000</v>
      </c>
      <c r="K107" s="11">
        <f>'2. Tulud-kulud projektiga'!K107-'3. Tulud-kulud projektita'!K107</f>
        <v>12000</v>
      </c>
      <c r="L107" s="11">
        <f>'2. Tulud-kulud projektiga'!L107-'3. Tulud-kulud projektita'!L107</f>
        <v>12000</v>
      </c>
      <c r="M107" s="11">
        <f>'2. Tulud-kulud projektiga'!M107-'3. Tulud-kulud projektita'!M107</f>
        <v>12000</v>
      </c>
      <c r="N107" s="11">
        <f>'2. Tulud-kulud projektiga'!N107-'3. Tulud-kulud projektita'!N107</f>
        <v>12000</v>
      </c>
      <c r="O107" s="11">
        <f>'2. Tulud-kulud projektiga'!O107-'3. Tulud-kulud projektita'!O107</f>
        <v>12000</v>
      </c>
      <c r="P107" s="11">
        <f>'2. Tulud-kulud projektiga'!P107-'3. Tulud-kulud projektita'!P107</f>
        <v>12000</v>
      </c>
      <c r="Q107" s="11">
        <f>'2. Tulud-kulud projektiga'!Q107-'3. Tulud-kulud projektita'!Q107</f>
        <v>12000</v>
      </c>
      <c r="R107" s="11">
        <f>'2. Tulud-kulud projektiga'!R107-'3. Tulud-kulud projektita'!R107</f>
        <v>12000</v>
      </c>
      <c r="S107" s="16"/>
      <c r="T107" s="16"/>
      <c r="U107" s="17"/>
    </row>
    <row r="108" spans="1:21" ht="16.5" customHeight="1" x14ac:dyDescent="0.35">
      <c r="A108" s="824" t="str">
        <f>'2. Tulud-kulud projektiga'!A108:B108</f>
        <v>Kindlustus</v>
      </c>
      <c r="B108" s="824"/>
      <c r="C108" s="51" t="s">
        <v>3</v>
      </c>
      <c r="D108" s="11">
        <f>'2. Tulud-kulud projektiga'!D108-'3. Tulud-kulud projektita'!D108</f>
        <v>0</v>
      </c>
      <c r="E108" s="11">
        <f>'2. Tulud-kulud projektiga'!E108-'3. Tulud-kulud projektita'!E108</f>
        <v>0</v>
      </c>
      <c r="F108" s="11">
        <f>'2. Tulud-kulud projektiga'!F108-'3. Tulud-kulud projektita'!F108</f>
        <v>3646</v>
      </c>
      <c r="G108" s="11">
        <f>'2. Tulud-kulud projektiga'!G108-'3. Tulud-kulud projektita'!G108</f>
        <v>10938</v>
      </c>
      <c r="H108" s="11">
        <f>'2. Tulud-kulud projektiga'!H108-'3. Tulud-kulud projektita'!H108</f>
        <v>10938</v>
      </c>
      <c r="I108" s="11">
        <f>'2. Tulud-kulud projektiga'!I108-'3. Tulud-kulud projektita'!I108</f>
        <v>10938</v>
      </c>
      <c r="J108" s="11">
        <f>'2. Tulud-kulud projektiga'!J108-'3. Tulud-kulud projektita'!J108</f>
        <v>10938</v>
      </c>
      <c r="K108" s="11">
        <f>'2. Tulud-kulud projektiga'!K108-'3. Tulud-kulud projektita'!K108</f>
        <v>10938</v>
      </c>
      <c r="L108" s="11">
        <f>'2. Tulud-kulud projektiga'!L108-'3. Tulud-kulud projektita'!L108</f>
        <v>10938</v>
      </c>
      <c r="M108" s="11">
        <f>'2. Tulud-kulud projektiga'!M108-'3. Tulud-kulud projektita'!M108</f>
        <v>10938</v>
      </c>
      <c r="N108" s="11">
        <f>'2. Tulud-kulud projektiga'!N108-'3. Tulud-kulud projektita'!N108</f>
        <v>10938</v>
      </c>
      <c r="O108" s="11">
        <f>'2. Tulud-kulud projektiga'!O108-'3. Tulud-kulud projektita'!O108</f>
        <v>10938</v>
      </c>
      <c r="P108" s="11">
        <f>'2. Tulud-kulud projektiga'!P108-'3. Tulud-kulud projektita'!P108</f>
        <v>10938</v>
      </c>
      <c r="Q108" s="11">
        <f>'2. Tulud-kulud projektiga'!Q108-'3. Tulud-kulud projektita'!Q108</f>
        <v>10938</v>
      </c>
      <c r="R108" s="11">
        <f>'2. Tulud-kulud projektiga'!R108-'3. Tulud-kulud projektita'!R108</f>
        <v>10938</v>
      </c>
      <c r="S108" s="16"/>
      <c r="T108" s="16"/>
      <c r="U108" s="17"/>
    </row>
    <row r="109" spans="1:21" ht="16.5" customHeight="1" x14ac:dyDescent="0.35">
      <c r="A109" s="824" t="str">
        <f>'2. Tulud-kulud projektiga'!A109:B109</f>
        <v>Muu</v>
      </c>
      <c r="B109" s="824"/>
      <c r="C109" s="51" t="s">
        <v>3</v>
      </c>
      <c r="D109" s="11">
        <f>'2. Tulud-kulud projektiga'!D109-'3. Tulud-kulud projektita'!D109</f>
        <v>0</v>
      </c>
      <c r="E109" s="11">
        <f>'2. Tulud-kulud projektiga'!E109-'3. Tulud-kulud projektita'!E109</f>
        <v>0</v>
      </c>
      <c r="F109" s="11">
        <f>'2. Tulud-kulud projektiga'!F109-'3. Tulud-kulud projektita'!F109</f>
        <v>2380</v>
      </c>
      <c r="G109" s="11">
        <f>'2. Tulud-kulud projektiga'!G109-'3. Tulud-kulud projektita'!G109</f>
        <v>7140</v>
      </c>
      <c r="H109" s="11">
        <f>'2. Tulud-kulud projektiga'!H109-'3. Tulud-kulud projektita'!H109</f>
        <v>7140</v>
      </c>
      <c r="I109" s="11">
        <f>'2. Tulud-kulud projektiga'!I109-'3. Tulud-kulud projektita'!I109</f>
        <v>7140</v>
      </c>
      <c r="J109" s="11">
        <f>'2. Tulud-kulud projektiga'!J109-'3. Tulud-kulud projektita'!J109</f>
        <v>7140</v>
      </c>
      <c r="K109" s="11">
        <f>'2. Tulud-kulud projektiga'!K109-'3. Tulud-kulud projektita'!K109</f>
        <v>7140</v>
      </c>
      <c r="L109" s="11">
        <f>'2. Tulud-kulud projektiga'!L109-'3. Tulud-kulud projektita'!L109</f>
        <v>7140</v>
      </c>
      <c r="M109" s="11">
        <f>'2. Tulud-kulud projektiga'!M109-'3. Tulud-kulud projektita'!M109</f>
        <v>7140</v>
      </c>
      <c r="N109" s="11">
        <f>'2. Tulud-kulud projektiga'!N109-'3. Tulud-kulud projektita'!N109</f>
        <v>7140</v>
      </c>
      <c r="O109" s="11">
        <f>'2. Tulud-kulud projektiga'!O109-'3. Tulud-kulud projektita'!O109</f>
        <v>7140</v>
      </c>
      <c r="P109" s="11">
        <f>'2. Tulud-kulud projektiga'!P109-'3. Tulud-kulud projektita'!P109</f>
        <v>7140</v>
      </c>
      <c r="Q109" s="11">
        <f>'2. Tulud-kulud projektiga'!Q109-'3. Tulud-kulud projektita'!Q109</f>
        <v>7140</v>
      </c>
      <c r="R109" s="11">
        <f>'2. Tulud-kulud projektiga'!R109-'3. Tulud-kulud projektita'!R109</f>
        <v>7140</v>
      </c>
      <c r="S109" s="16"/>
      <c r="T109" s="16"/>
      <c r="U109" s="17"/>
    </row>
    <row r="110" spans="1:21" ht="16.5" hidden="1" customHeight="1" x14ac:dyDescent="0.35">
      <c r="A110" s="824" t="str">
        <f>'2. Tulud-kulud projektiga'!A110:B110</f>
        <v>Muu kulu 5</v>
      </c>
      <c r="B110" s="824"/>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824">
        <f>'2. Tulud-kulud projektiga'!A111:B111</f>
        <v>0</v>
      </c>
      <c r="B111" s="824"/>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824" t="str">
        <f>'2. Tulud-kulud projektiga'!A112:B112</f>
        <v>Asendusinvesteeringud</v>
      </c>
      <c r="B112" s="824"/>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164070</v>
      </c>
      <c r="S112" s="16"/>
      <c r="T112" s="16"/>
      <c r="U112" s="17"/>
    </row>
    <row r="113" spans="1:21" ht="16.5" hidden="1" customHeight="1" outlineLevel="1" x14ac:dyDescent="0.35">
      <c r="A113" s="824" t="str">
        <f>'2. Tulud-kulud projektiga'!A113:B113</f>
        <v>Muu kulu 8</v>
      </c>
      <c r="B113" s="824"/>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824" t="str">
        <f>'2. Tulud-kulud projektiga'!A114:B114</f>
        <v>Muu kulu 9</v>
      </c>
      <c r="B114" s="824"/>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824" t="str">
        <f>'2. Tulud-kulud projektiga'!A115:B115</f>
        <v>Muu kulu 10</v>
      </c>
      <c r="B115" s="824"/>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818" t="str">
        <f>'2. Tulud-kulud projektiga'!A116:B116</f>
        <v>Muud kulud kokku</v>
      </c>
      <c r="B116" s="819"/>
      <c r="C116" s="48" t="s">
        <v>3</v>
      </c>
      <c r="D116" s="59">
        <f>'2. Tulud-kulud projektiga'!D116-'3. Tulud-kulud projektita'!D116</f>
        <v>0</v>
      </c>
      <c r="E116" s="59">
        <f>'2. Tulud-kulud projektiga'!E116-'3. Tulud-kulud projektita'!E116</f>
        <v>0</v>
      </c>
      <c r="F116" s="59">
        <f>'2. Tulud-kulud projektiga'!F116-'3. Tulud-kulud projektita'!F116</f>
        <v>19026</v>
      </c>
      <c r="G116" s="59">
        <f>'2. Tulud-kulud projektiga'!G116-'3. Tulud-kulud projektita'!G116</f>
        <v>57078</v>
      </c>
      <c r="H116" s="59">
        <f>'2. Tulud-kulud projektiga'!H116-'3. Tulud-kulud projektita'!H116</f>
        <v>57078</v>
      </c>
      <c r="I116" s="59">
        <f>'2. Tulud-kulud projektiga'!I116-'3. Tulud-kulud projektita'!I116</f>
        <v>57078</v>
      </c>
      <c r="J116" s="59">
        <f>'2. Tulud-kulud projektiga'!J116-'3. Tulud-kulud projektita'!J116</f>
        <v>57078</v>
      </c>
      <c r="K116" s="59">
        <f>'2. Tulud-kulud projektiga'!K116-'3. Tulud-kulud projektita'!K116</f>
        <v>57078</v>
      </c>
      <c r="L116" s="59">
        <f>'2. Tulud-kulud projektiga'!L116-'3. Tulud-kulud projektita'!L116</f>
        <v>57078</v>
      </c>
      <c r="M116" s="59">
        <f>'2. Tulud-kulud projektiga'!M116-'3. Tulud-kulud projektita'!M116</f>
        <v>57078</v>
      </c>
      <c r="N116" s="59">
        <f>'2. Tulud-kulud projektiga'!N116-'3. Tulud-kulud projektita'!N116</f>
        <v>57078</v>
      </c>
      <c r="O116" s="59">
        <f>'2. Tulud-kulud projektiga'!O116-'3. Tulud-kulud projektita'!O116</f>
        <v>57078</v>
      </c>
      <c r="P116" s="59">
        <f>'2. Tulud-kulud projektiga'!P116-'3. Tulud-kulud projektita'!P116</f>
        <v>57078</v>
      </c>
      <c r="Q116" s="59">
        <f>'2. Tulud-kulud projektiga'!Q116-'3. Tulud-kulud projektita'!Q116</f>
        <v>57078</v>
      </c>
      <c r="R116" s="59">
        <f>'2. Tulud-kulud projektiga'!R116-'3. Tulud-kulud projektita'!R116</f>
        <v>221148</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828" t="s">
        <v>68</v>
      </c>
      <c r="B118" s="829"/>
      <c r="C118" s="57" t="s">
        <v>3</v>
      </c>
      <c r="D118" s="58">
        <f t="shared" ref="D118:K118" si="6">D80+D92+D104+D116</f>
        <v>22253.616000000002</v>
      </c>
      <c r="E118" s="58">
        <f t="shared" si="6"/>
        <v>89014.464000000007</v>
      </c>
      <c r="F118" s="58">
        <f t="shared" si="6"/>
        <v>187568.82434690668</v>
      </c>
      <c r="G118" s="58">
        <f t="shared" si="6"/>
        <v>352184.37186727999</v>
      </c>
      <c r="H118" s="58">
        <f t="shared" si="6"/>
        <v>352184.37186727999</v>
      </c>
      <c r="I118" s="58">
        <f t="shared" si="6"/>
        <v>361855.93338767998</v>
      </c>
      <c r="J118" s="58">
        <f t="shared" si="6"/>
        <v>361855.93338767998</v>
      </c>
      <c r="K118" s="58">
        <f t="shared" si="6"/>
        <v>361855.93338767998</v>
      </c>
      <c r="L118" s="58">
        <f t="shared" ref="L118:R118" si="7">L80+L92+L104+L116</f>
        <v>361855.93338767998</v>
      </c>
      <c r="M118" s="58">
        <f t="shared" si="7"/>
        <v>371527.49490807997</v>
      </c>
      <c r="N118" s="58">
        <f t="shared" si="7"/>
        <v>371527.49490807997</v>
      </c>
      <c r="O118" s="58">
        <f t="shared" si="7"/>
        <v>371527.49490807997</v>
      </c>
      <c r="P118" s="58">
        <f t="shared" si="7"/>
        <v>371527.49490807997</v>
      </c>
      <c r="Q118" s="58">
        <f t="shared" si="7"/>
        <v>371527.49490807997</v>
      </c>
      <c r="R118" s="58">
        <f t="shared" si="7"/>
        <v>535597.49490807997</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815" t="s">
        <v>37</v>
      </c>
      <c r="B121" s="816"/>
      <c r="C121" s="22" t="s">
        <v>3</v>
      </c>
      <c r="D121" s="14">
        <f t="shared" ref="D121:K121" si="8">D53-D118</f>
        <v>-22253.616000000002</v>
      </c>
      <c r="E121" s="14">
        <f t="shared" si="8"/>
        <v>-89014.464000000007</v>
      </c>
      <c r="F121" s="14">
        <f t="shared" si="8"/>
        <v>-130116.55764963335</v>
      </c>
      <c r="G121" s="14">
        <f t="shared" si="8"/>
        <v>-179827.57177545998</v>
      </c>
      <c r="H121" s="14">
        <f t="shared" si="8"/>
        <v>-179827.57177545998</v>
      </c>
      <c r="I121" s="14">
        <f t="shared" si="8"/>
        <v>-15573.501193839998</v>
      </c>
      <c r="J121" s="14">
        <f t="shared" si="8"/>
        <v>-15573.501193839998</v>
      </c>
      <c r="K121" s="14">
        <f t="shared" si="8"/>
        <v>-15573.501193839998</v>
      </c>
      <c r="L121" s="14">
        <f t="shared" ref="L121:R121" si="9">L53-L118</f>
        <v>-15573.501193839998</v>
      </c>
      <c r="M121" s="14">
        <f t="shared" si="9"/>
        <v>150249.40139798005</v>
      </c>
      <c r="N121" s="14">
        <f t="shared" si="9"/>
        <v>150249.40139798005</v>
      </c>
      <c r="O121" s="14">
        <f t="shared" si="9"/>
        <v>150249.40139798005</v>
      </c>
      <c r="P121" s="14">
        <f t="shared" si="9"/>
        <v>150249.40139798005</v>
      </c>
      <c r="Q121" s="14">
        <f t="shared" si="9"/>
        <v>150249.40139798005</v>
      </c>
      <c r="R121" s="14">
        <f t="shared" si="9"/>
        <v>-13820.598602019949</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815" t="s">
        <v>178</v>
      </c>
      <c r="B125" s="816"/>
      <c r="C125" s="22" t="s">
        <v>3</v>
      </c>
      <c r="D125" s="14">
        <f>D121</f>
        <v>-22253.616000000002</v>
      </c>
      <c r="E125" s="14">
        <f>D125+E121</f>
        <v>-111268.08000000002</v>
      </c>
      <c r="F125" s="14">
        <f t="shared" ref="F125:P125" si="10">E125+F121</f>
        <v>-241384.63764963337</v>
      </c>
      <c r="G125" s="14">
        <f t="shared" si="10"/>
        <v>-421212.20942509337</v>
      </c>
      <c r="H125" s="14">
        <f t="shared" si="10"/>
        <v>-601039.78120055329</v>
      </c>
      <c r="I125" s="14">
        <f t="shared" si="10"/>
        <v>-616613.28239439335</v>
      </c>
      <c r="J125" s="14">
        <f t="shared" si="10"/>
        <v>-632186.7835882334</v>
      </c>
      <c r="K125" s="14">
        <f t="shared" si="10"/>
        <v>-647760.28478207346</v>
      </c>
      <c r="L125" s="14">
        <f t="shared" si="10"/>
        <v>-663333.78597591352</v>
      </c>
      <c r="M125" s="14">
        <f t="shared" si="10"/>
        <v>-513084.38457793347</v>
      </c>
      <c r="N125" s="14">
        <f t="shared" si="10"/>
        <v>-362834.98317995341</v>
      </c>
      <c r="O125" s="14">
        <f t="shared" si="10"/>
        <v>-212585.58178197336</v>
      </c>
      <c r="P125" s="14">
        <f t="shared" si="10"/>
        <v>-62336.180383993313</v>
      </c>
      <c r="Q125" s="14">
        <f t="shared" ref="Q125" si="11">P125+Q121</f>
        <v>87913.221013986738</v>
      </c>
      <c r="R125" s="14">
        <f t="shared" ref="R125" si="12">Q125+R121</f>
        <v>74092.62241196679</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33"/>
  <sheetViews>
    <sheetView topLeftCell="A13" workbookViewId="0">
      <selection activeCell="D12" sqref="D12"/>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7" ht="18.5" x14ac:dyDescent="0.35">
      <c r="A1" s="110" t="s">
        <v>83</v>
      </c>
    </row>
    <row r="2" spans="1:7" ht="18.5" x14ac:dyDescent="0.35">
      <c r="A2" s="101"/>
    </row>
    <row r="3" spans="1:7" ht="18.75" customHeight="1" x14ac:dyDescent="0.35">
      <c r="B3" s="116" t="s">
        <v>79</v>
      </c>
      <c r="C3" s="111">
        <v>0.04</v>
      </c>
    </row>
    <row r="4" spans="1:7" ht="18.75" customHeight="1" x14ac:dyDescent="0.35">
      <c r="B4" s="126" t="s">
        <v>106</v>
      </c>
      <c r="C4" s="127">
        <f>Esileht!B10</f>
        <v>2024</v>
      </c>
    </row>
    <row r="5" spans="1:7" ht="18.75" customHeight="1" x14ac:dyDescent="0.35">
      <c r="B5" s="126" t="s">
        <v>107</v>
      </c>
      <c r="C5" s="127">
        <f>Esileht!B11</f>
        <v>2038</v>
      </c>
    </row>
    <row r="6" spans="1:7" ht="18.75" customHeight="1" x14ac:dyDescent="0.35">
      <c r="B6" s="113" t="s">
        <v>108</v>
      </c>
      <c r="C6" s="112">
        <f>IF(C5&gt;0,C5-C4+1,"")</f>
        <v>15</v>
      </c>
      <c r="D6" s="71" t="s">
        <v>80</v>
      </c>
    </row>
    <row r="8" spans="1:7" ht="36.75" customHeight="1" x14ac:dyDescent="0.35">
      <c r="A8" s="112" t="s">
        <v>81</v>
      </c>
      <c r="B8" s="113" t="s">
        <v>82</v>
      </c>
      <c r="C8" s="114" t="s">
        <v>95</v>
      </c>
      <c r="D8" s="114" t="s">
        <v>96</v>
      </c>
    </row>
    <row r="9" spans="1:7" ht="21.75" customHeight="1" x14ac:dyDescent="0.35">
      <c r="A9" s="112">
        <v>1</v>
      </c>
      <c r="B9" s="117" t="s">
        <v>84</v>
      </c>
      <c r="C9" s="106">
        <f>'1. Projekti elluviimise kulud'!J19</f>
        <v>10990000</v>
      </c>
      <c r="D9" s="144">
        <f>NPV(C3,'1. Projekti elluviimise kulud'!D19:I19)</f>
        <v>10162650.77378243</v>
      </c>
    </row>
    <row r="10" spans="1:7" ht="21.75" customHeight="1" x14ac:dyDescent="0.35">
      <c r="A10" s="112">
        <v>2</v>
      </c>
      <c r="B10" s="117" t="s">
        <v>85</v>
      </c>
      <c r="C10" s="106">
        <f>'8. Jääkväärtus'!Q14</f>
        <v>0</v>
      </c>
      <c r="D10" s="144">
        <f>'8. Jääkväärtus'!C17</f>
        <v>0</v>
      </c>
      <c r="G10" s="360" t="str">
        <f>'8. Jääkväärtus'!C9</f>
        <v>Jääkväärtust ei ole vaja arvutada</v>
      </c>
    </row>
    <row r="11" spans="1:7" ht="21.75" customHeight="1" x14ac:dyDescent="0.35">
      <c r="A11" s="112">
        <v>3</v>
      </c>
      <c r="B11" s="117" t="s">
        <v>86</v>
      </c>
      <c r="C11" s="108"/>
      <c r="D11" s="144">
        <f>NPV(C3,'4. Lisanduvad tulud-kulud'!D53:R53)</f>
        <v>3294941.1823113631</v>
      </c>
    </row>
    <row r="12" spans="1:7" ht="21.75" customHeight="1" x14ac:dyDescent="0.35">
      <c r="A12" s="112">
        <v>4</v>
      </c>
      <c r="B12" s="117" t="s">
        <v>87</v>
      </c>
      <c r="C12" s="108"/>
      <c r="D12" s="144">
        <f>NPV(C3,'4. Lisanduvad tulud-kulud'!D118:R118)</f>
        <v>3400022.4292678665</v>
      </c>
      <c r="F12" s="128">
        <f>D10+D11-D12</f>
        <v>-105081.24695650348</v>
      </c>
    </row>
    <row r="13" spans="1:7" ht="21.75" customHeight="1" x14ac:dyDescent="0.35">
      <c r="A13" s="112">
        <v>5</v>
      </c>
      <c r="B13" s="117" t="s">
        <v>88</v>
      </c>
      <c r="C13" s="108"/>
      <c r="D13" s="744">
        <f>IF((D10+D11-D12)&lt;0,0,D10+D11-D12)</f>
        <v>0</v>
      </c>
      <c r="F13" s="128">
        <f>NPV(C3,'4. Lisanduvad tulud-kulud'!D121:R121)</f>
        <v>-105081.24695650332</v>
      </c>
    </row>
    <row r="14" spans="1:7" ht="21.75" customHeight="1" x14ac:dyDescent="0.35">
      <c r="A14" s="112">
        <v>6</v>
      </c>
      <c r="B14" s="117" t="s">
        <v>89</v>
      </c>
      <c r="C14" s="108"/>
      <c r="D14" s="144">
        <f>D9-D13</f>
        <v>10162650.77378243</v>
      </c>
    </row>
    <row r="15" spans="1:7" ht="21.75" customHeight="1" x14ac:dyDescent="0.35">
      <c r="A15" s="112">
        <v>7</v>
      </c>
      <c r="B15" s="117" t="s">
        <v>90</v>
      </c>
      <c r="C15" s="108"/>
      <c r="D15" s="109">
        <f>D14/D9</f>
        <v>1</v>
      </c>
    </row>
    <row r="16" spans="1:7" ht="36.75" customHeight="1" x14ac:dyDescent="0.35">
      <c r="A16" s="112">
        <v>8</v>
      </c>
      <c r="B16" s="117" t="s">
        <v>91</v>
      </c>
      <c r="C16" s="106">
        <f>'1. Projekti elluviimise kulud'!J41</f>
        <v>10990000</v>
      </c>
      <c r="D16" s="108"/>
    </row>
    <row r="17" spans="1:5" ht="68.25" customHeight="1" x14ac:dyDescent="0.35">
      <c r="A17" s="112">
        <v>9</v>
      </c>
      <c r="B17" s="115" t="s">
        <v>94</v>
      </c>
      <c r="C17" s="106">
        <f>C16*D15</f>
        <v>10990000</v>
      </c>
      <c r="D17" s="108"/>
    </row>
    <row r="18" spans="1:5" ht="21.75" customHeight="1" x14ac:dyDescent="0.35">
      <c r="A18" s="112">
        <v>10</v>
      </c>
      <c r="B18" s="117" t="s">
        <v>92</v>
      </c>
      <c r="C18" s="107">
        <v>1</v>
      </c>
      <c r="D18" s="108"/>
    </row>
    <row r="19" spans="1:5" ht="24.75" customHeight="1" x14ac:dyDescent="0.35">
      <c r="A19" s="112">
        <v>11</v>
      </c>
      <c r="B19" s="117" t="s">
        <v>93</v>
      </c>
      <c r="C19" s="129">
        <f>C17*C18</f>
        <v>10990000</v>
      </c>
      <c r="D19" s="108"/>
    </row>
    <row r="20" spans="1:5" x14ac:dyDescent="0.35">
      <c r="B20" s="105"/>
      <c r="C20" s="104"/>
      <c r="D20" s="104"/>
    </row>
    <row r="21" spans="1:5" x14ac:dyDescent="0.35">
      <c r="B21" s="105"/>
      <c r="C21" s="104"/>
      <c r="D21" s="104"/>
    </row>
    <row r="22" spans="1:5" x14ac:dyDescent="0.35">
      <c r="B22" s="105"/>
      <c r="C22" s="104"/>
      <c r="D22" s="104"/>
    </row>
    <row r="23" spans="1:5" x14ac:dyDescent="0.35">
      <c r="B23" s="105"/>
      <c r="C23" s="104"/>
      <c r="D23" s="104"/>
    </row>
    <row r="24" spans="1:5" x14ac:dyDescent="0.35">
      <c r="B24" s="105"/>
      <c r="C24" s="104"/>
      <c r="D24" s="104"/>
    </row>
    <row r="25" spans="1:5" x14ac:dyDescent="0.35">
      <c r="B25" s="105"/>
      <c r="C25" s="745"/>
      <c r="D25" s="745"/>
      <c r="E25" s="745"/>
    </row>
    <row r="26" spans="1:5" x14ac:dyDescent="0.35">
      <c r="B26" s="365"/>
    </row>
    <row r="27" spans="1:5" x14ac:dyDescent="0.35">
      <c r="B27" s="365"/>
      <c r="C27" s="366"/>
      <c r="D27" s="366"/>
      <c r="E27" s="366"/>
    </row>
    <row r="28" spans="1:5" x14ac:dyDescent="0.35">
      <c r="B28" s="365"/>
      <c r="C28" s="366"/>
      <c r="D28" s="366"/>
      <c r="E28" s="366"/>
    </row>
    <row r="29" spans="1:5" x14ac:dyDescent="0.35">
      <c r="B29" s="365"/>
      <c r="C29" s="366"/>
      <c r="D29" s="366"/>
      <c r="E29" s="366"/>
    </row>
    <row r="30" spans="1:5" x14ac:dyDescent="0.35">
      <c r="B30" s="365"/>
      <c r="C30" s="365"/>
      <c r="D30" s="365"/>
      <c r="E30" s="365"/>
    </row>
    <row r="31" spans="1:5" x14ac:dyDescent="0.35">
      <c r="B31" s="365"/>
      <c r="C31" s="366"/>
      <c r="D31" s="366"/>
      <c r="E31" s="366"/>
    </row>
    <row r="33" spans="3:3" x14ac:dyDescent="0.35">
      <c r="C33" s="727"/>
    </row>
  </sheetData>
  <conditionalFormatting sqref="C33">
    <cfRule type="cellIs" dxfId="4" priority="1" operator="greaterThan">
      <formula>0</formula>
    </cfRule>
  </conditionalFormatting>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zoomScale="85" zoomScaleNormal="85" workbookViewId="0">
      <selection activeCell="A13" sqref="A13"/>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139</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 si="2">P3+1</f>
        <v>2038</v>
      </c>
      <c r="R3" s="236"/>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row>
    <row r="5" spans="1:35" ht="20.25" customHeight="1" x14ac:dyDescent="0.35">
      <c r="A5" s="233" t="s">
        <v>123</v>
      </c>
      <c r="B5" s="234"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51" customHeight="1" x14ac:dyDescent="0.35">
      <c r="A7" s="726" t="s">
        <v>581</v>
      </c>
      <c r="B7" s="242" t="s">
        <v>3</v>
      </c>
      <c r="C7" s="243">
        <f>'1. Projekti elluviimise kulud'!D41</f>
        <v>50000</v>
      </c>
      <c r="D7" s="243">
        <f>'1. Projekti elluviimise kulud'!E41</f>
        <v>10938000</v>
      </c>
      <c r="E7" s="243">
        <f>'1. Projekti elluviimise kulud'!F41</f>
        <v>2000</v>
      </c>
      <c r="F7" s="243"/>
      <c r="G7" s="243"/>
      <c r="H7" s="243"/>
      <c r="I7" s="243"/>
      <c r="J7" s="243"/>
      <c r="K7" s="243"/>
      <c r="L7" s="243"/>
      <c r="M7" s="243"/>
      <c r="N7" s="243"/>
      <c r="O7" s="243"/>
      <c r="P7" s="243"/>
      <c r="Q7" s="243"/>
    </row>
    <row r="8" spans="1:35" s="244" customFormat="1" ht="72.5" customHeight="1" x14ac:dyDescent="0.35">
      <c r="A8" s="725" t="s">
        <v>582</v>
      </c>
      <c r="B8" s="242" t="s">
        <v>3</v>
      </c>
      <c r="C8" s="243">
        <f>('2. Tulud-kulud projektiga'!D58+'2. Tulud-kulud projektiga'!D59)*1.338</f>
        <v>22253.616000000002</v>
      </c>
      <c r="D8" s="243">
        <f>('2. Tulud-kulud projektiga'!E58+'2. Tulud-kulud projektiga'!E59)*1.338</f>
        <v>89014.464000000007</v>
      </c>
      <c r="E8" s="243">
        <f>('2. Tulud-kulud projektiga'!F58+'2. Tulud-kulud projektiga'!F59)*1.338</f>
        <v>89014.464000000007</v>
      </c>
      <c r="F8" s="243">
        <f>('2. Tulud-kulud projektiga'!G58+'2. Tulud-kulud projektiga'!G59)*1.338</f>
        <v>89014.464000000007</v>
      </c>
      <c r="G8" s="243">
        <f>('2. Tulud-kulud projektiga'!H58+'2. Tulud-kulud projektiga'!H59)*1.338</f>
        <v>89014.464000000007</v>
      </c>
      <c r="H8" s="243">
        <f>('2. Tulud-kulud projektiga'!I58+'2. Tulud-kulud projektiga'!I59)*1.338</f>
        <v>89014.464000000007</v>
      </c>
      <c r="I8" s="243"/>
      <c r="J8" s="243"/>
      <c r="K8" s="243"/>
      <c r="L8" s="243"/>
      <c r="M8" s="243"/>
      <c r="N8" s="243"/>
      <c r="O8" s="243"/>
      <c r="P8" s="243"/>
      <c r="Q8" s="243"/>
    </row>
    <row r="9" spans="1:35" s="244" customFormat="1" ht="16.5" hidden="1" customHeight="1" x14ac:dyDescent="0.35">
      <c r="A9" s="241" t="s">
        <v>141</v>
      </c>
      <c r="B9" s="242" t="s">
        <v>3</v>
      </c>
      <c r="C9" s="243"/>
      <c r="D9" s="243"/>
      <c r="E9" s="243"/>
      <c r="F9" s="243"/>
      <c r="G9" s="243"/>
      <c r="H9" s="243"/>
      <c r="I9" s="243"/>
      <c r="J9" s="243"/>
      <c r="K9" s="243"/>
      <c r="L9" s="243"/>
      <c r="M9" s="243"/>
      <c r="N9" s="243"/>
      <c r="O9" s="243"/>
      <c r="P9" s="243"/>
      <c r="Q9" s="243"/>
    </row>
    <row r="10" spans="1:35" s="244" customFormat="1" ht="16.5" hidden="1" customHeight="1" x14ac:dyDescent="0.35">
      <c r="A10" s="241" t="s">
        <v>141</v>
      </c>
      <c r="B10" s="242" t="s">
        <v>3</v>
      </c>
      <c r="C10" s="243"/>
      <c r="D10" s="243"/>
      <c r="E10" s="243"/>
      <c r="F10" s="243"/>
      <c r="G10" s="243"/>
      <c r="H10" s="243"/>
      <c r="I10" s="243"/>
      <c r="J10" s="243"/>
      <c r="K10" s="243"/>
      <c r="L10" s="243"/>
      <c r="M10" s="243"/>
      <c r="N10" s="243"/>
      <c r="O10" s="243"/>
      <c r="P10" s="243"/>
      <c r="Q10" s="243"/>
    </row>
    <row r="11" spans="1:35" s="244" customFormat="1" ht="16.5" hidden="1" customHeight="1" x14ac:dyDescent="0.35">
      <c r="A11" s="241" t="s">
        <v>141</v>
      </c>
      <c r="B11" s="242" t="s">
        <v>3</v>
      </c>
      <c r="C11" s="243"/>
      <c r="D11" s="243"/>
      <c r="E11" s="243"/>
      <c r="F11" s="243"/>
      <c r="G11" s="243"/>
      <c r="H11" s="243"/>
      <c r="I11" s="243"/>
      <c r="J11" s="243"/>
      <c r="K11" s="243"/>
      <c r="L11" s="243"/>
      <c r="M11" s="243"/>
      <c r="N11" s="243"/>
      <c r="O11" s="243"/>
      <c r="P11" s="243"/>
      <c r="Q11" s="243"/>
    </row>
    <row r="12" spans="1:35" s="244" customFormat="1" ht="16.5" hidden="1" customHeight="1" x14ac:dyDescent="0.35">
      <c r="A12" s="241" t="s">
        <v>141</v>
      </c>
      <c r="B12" s="242" t="s">
        <v>3</v>
      </c>
      <c r="C12" s="243"/>
      <c r="D12" s="243"/>
      <c r="E12" s="243"/>
      <c r="F12" s="243"/>
      <c r="G12" s="243"/>
      <c r="H12" s="243"/>
      <c r="I12" s="243"/>
      <c r="J12" s="243"/>
      <c r="K12" s="243"/>
      <c r="L12" s="243"/>
      <c r="M12" s="243"/>
      <c r="N12" s="243"/>
      <c r="O12" s="243"/>
      <c r="P12" s="243"/>
      <c r="Q12" s="243"/>
    </row>
    <row r="13" spans="1:35" ht="16.5" customHeight="1" x14ac:dyDescent="0.35">
      <c r="A13" s="241" t="s">
        <v>124</v>
      </c>
      <c r="B13" s="242" t="s">
        <v>3</v>
      </c>
      <c r="C13" s="245">
        <f>'2. Tulud-kulud projektiga'!D53</f>
        <v>0</v>
      </c>
      <c r="D13" s="245">
        <f>'2. Tulud-kulud projektiga'!E53</f>
        <v>0</v>
      </c>
      <c r="E13" s="245">
        <f>'2. Tulud-kulud projektiga'!F53</f>
        <v>57452.266697273335</v>
      </c>
      <c r="F13" s="245">
        <f>'2. Tulud-kulud projektiga'!G53</f>
        <v>172356.80009182001</v>
      </c>
      <c r="G13" s="245">
        <f>'2. Tulud-kulud projektiga'!H53</f>
        <v>172356.80009182001</v>
      </c>
      <c r="H13" s="245">
        <f>'2. Tulud-kulud projektiga'!I53</f>
        <v>346282.43219383998</v>
      </c>
      <c r="I13" s="245">
        <f>'2. Tulud-kulud projektiga'!J53</f>
        <v>346282.43219383998</v>
      </c>
      <c r="J13" s="245">
        <f>'2. Tulud-kulud projektiga'!K53</f>
        <v>346282.43219383998</v>
      </c>
      <c r="K13" s="245">
        <f>'2. Tulud-kulud projektiga'!L53</f>
        <v>346282.43219383998</v>
      </c>
      <c r="L13" s="245">
        <f>'2. Tulud-kulud projektiga'!M53</f>
        <v>521776.89630606002</v>
      </c>
      <c r="M13" s="245">
        <f>'2. Tulud-kulud projektiga'!N53</f>
        <v>521776.89630606002</v>
      </c>
      <c r="N13" s="245">
        <f>'2. Tulud-kulud projektiga'!O53</f>
        <v>521776.89630606002</v>
      </c>
      <c r="O13" s="245">
        <f>'2. Tulud-kulud projektiga'!P53</f>
        <v>521776.89630606002</v>
      </c>
      <c r="P13" s="245">
        <f>'2. Tulud-kulud projektiga'!Q53</f>
        <v>521776.89630606002</v>
      </c>
      <c r="Q13" s="245">
        <f>'2. Tulud-kulud projektiga'!R53</f>
        <v>521776.89630606002</v>
      </c>
    </row>
    <row r="14" spans="1:35" ht="16.5" hidden="1" customHeight="1" x14ac:dyDescent="0.35">
      <c r="A14" s="241" t="s">
        <v>179</v>
      </c>
      <c r="B14" s="242" t="s">
        <v>3</v>
      </c>
      <c r="C14" s="11"/>
      <c r="D14" s="11"/>
      <c r="E14" s="11"/>
      <c r="F14" s="11"/>
      <c r="G14" s="11"/>
      <c r="H14" s="11"/>
      <c r="I14" s="11"/>
      <c r="J14" s="11"/>
      <c r="K14" s="11"/>
      <c r="L14" s="11"/>
      <c r="M14" s="11"/>
      <c r="N14" s="11"/>
      <c r="O14" s="11"/>
      <c r="P14" s="11"/>
      <c r="Q14" s="11"/>
    </row>
    <row r="15" spans="1:35" ht="16.5" hidden="1" customHeight="1" x14ac:dyDescent="0.35">
      <c r="A15" s="241"/>
      <c r="B15" s="242" t="s">
        <v>3</v>
      </c>
      <c r="C15" s="11"/>
      <c r="D15" s="11"/>
      <c r="E15" s="11"/>
      <c r="F15" s="11"/>
      <c r="G15" s="11"/>
      <c r="H15" s="11"/>
      <c r="I15" s="11"/>
      <c r="J15" s="11"/>
      <c r="K15" s="11"/>
      <c r="L15" s="11"/>
      <c r="M15" s="11"/>
      <c r="N15" s="11"/>
      <c r="O15" s="11"/>
      <c r="P15" s="11"/>
      <c r="Q15" s="11"/>
    </row>
    <row r="16" spans="1:35" ht="16.5" customHeight="1" x14ac:dyDescent="0.35">
      <c r="A16" s="241" t="s">
        <v>546</v>
      </c>
      <c r="B16" s="242" t="s">
        <v>3</v>
      </c>
      <c r="C16" s="11"/>
      <c r="D16" s="11"/>
      <c r="E16" s="11">
        <v>67000</v>
      </c>
      <c r="F16" s="11">
        <v>65000</v>
      </c>
      <c r="G16" s="11">
        <v>91000</v>
      </c>
      <c r="H16" s="11"/>
      <c r="I16" s="11"/>
      <c r="J16" s="11"/>
      <c r="K16" s="11"/>
      <c r="L16" s="11"/>
      <c r="M16" s="11"/>
      <c r="N16" s="11"/>
      <c r="O16" s="11"/>
      <c r="P16" s="11"/>
      <c r="Q16" s="11"/>
    </row>
    <row r="17" spans="1:35" ht="16.5" hidden="1" customHeight="1" x14ac:dyDescent="0.35">
      <c r="A17" s="241"/>
      <c r="B17" s="242" t="s">
        <v>3</v>
      </c>
      <c r="C17" s="11"/>
      <c r="D17" s="11"/>
      <c r="E17" s="11"/>
      <c r="F17" s="11"/>
      <c r="G17" s="11"/>
      <c r="H17" s="11"/>
      <c r="I17" s="11"/>
      <c r="J17" s="11"/>
      <c r="K17" s="11"/>
      <c r="L17" s="11"/>
      <c r="M17" s="11"/>
      <c r="N17" s="11"/>
      <c r="O17" s="11"/>
      <c r="P17" s="11"/>
      <c r="Q17" s="11"/>
    </row>
    <row r="18" spans="1:35" ht="16.5" hidden="1" customHeight="1" x14ac:dyDescent="0.35">
      <c r="A18" s="241"/>
      <c r="B18" s="242" t="s">
        <v>3</v>
      </c>
      <c r="C18" s="11"/>
      <c r="D18" s="11"/>
      <c r="E18" s="11"/>
      <c r="F18" s="11"/>
      <c r="G18" s="11"/>
      <c r="H18" s="11"/>
      <c r="I18" s="11"/>
      <c r="J18" s="11"/>
      <c r="K18" s="11"/>
      <c r="L18" s="11"/>
      <c r="M18" s="11"/>
      <c r="N18" s="11"/>
      <c r="O18" s="11"/>
      <c r="P18" s="11"/>
      <c r="Q18" s="11"/>
    </row>
    <row r="19" spans="1:35" ht="4.5" customHeight="1" x14ac:dyDescent="0.35">
      <c r="A19" s="238"/>
      <c r="B19" s="246"/>
      <c r="C19" s="18"/>
      <c r="D19" s="18"/>
      <c r="E19" s="18"/>
      <c r="F19" s="18"/>
      <c r="G19" s="18"/>
      <c r="H19" s="18"/>
      <c r="I19" s="18"/>
      <c r="J19" s="18"/>
      <c r="K19" s="18"/>
      <c r="L19" s="18"/>
      <c r="M19" s="18"/>
      <c r="N19" s="18"/>
      <c r="O19" s="18"/>
      <c r="P19" s="18"/>
      <c r="Q19" s="19"/>
    </row>
    <row r="20" spans="1:35" s="250" customFormat="1" ht="22.5" customHeight="1" x14ac:dyDescent="0.35">
      <c r="A20" s="247" t="s">
        <v>125</v>
      </c>
      <c r="B20" s="248" t="s">
        <v>3</v>
      </c>
      <c r="C20" s="249">
        <f t="shared" ref="C20:P20" si="3">SUM(C7:C18)</f>
        <v>72253.616000000009</v>
      </c>
      <c r="D20" s="249">
        <f t="shared" si="3"/>
        <v>11027014.464</v>
      </c>
      <c r="E20" s="249">
        <f t="shared" si="3"/>
        <v>215466.73069727333</v>
      </c>
      <c r="F20" s="249">
        <f t="shared" si="3"/>
        <v>326371.26409181999</v>
      </c>
      <c r="G20" s="249">
        <f t="shared" si="3"/>
        <v>352371.26409181999</v>
      </c>
      <c r="H20" s="249">
        <f t="shared" si="3"/>
        <v>435296.89619383996</v>
      </c>
      <c r="I20" s="249">
        <f t="shared" si="3"/>
        <v>346282.43219383998</v>
      </c>
      <c r="J20" s="249">
        <f t="shared" si="3"/>
        <v>346282.43219383998</v>
      </c>
      <c r="K20" s="249">
        <f t="shared" si="3"/>
        <v>346282.43219383998</v>
      </c>
      <c r="L20" s="249">
        <f t="shared" si="3"/>
        <v>521776.89630606002</v>
      </c>
      <c r="M20" s="249">
        <f t="shared" si="3"/>
        <v>521776.89630606002</v>
      </c>
      <c r="N20" s="249">
        <f t="shared" si="3"/>
        <v>521776.89630606002</v>
      </c>
      <c r="O20" s="249">
        <f t="shared" si="3"/>
        <v>521776.89630606002</v>
      </c>
      <c r="P20" s="249">
        <f t="shared" si="3"/>
        <v>521776.89630606002</v>
      </c>
      <c r="Q20" s="249">
        <f t="shared" ref="Q20" si="4">SUM(Q7:Q18)</f>
        <v>521776.89630606002</v>
      </c>
      <c r="R20" s="3"/>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row>
    <row r="23" spans="1:35" ht="20.25" customHeight="1" x14ac:dyDescent="0.35">
      <c r="A23" s="233" t="s">
        <v>126</v>
      </c>
      <c r="B23" s="257"/>
      <c r="C23" s="11"/>
      <c r="D23" s="11"/>
      <c r="E23" s="11"/>
      <c r="F23" s="11"/>
      <c r="G23" s="11"/>
      <c r="H23" s="11"/>
      <c r="I23" s="11"/>
      <c r="J23" s="11"/>
      <c r="K23" s="11"/>
      <c r="L23" s="11"/>
      <c r="M23" s="11"/>
      <c r="N23" s="11"/>
      <c r="O23" s="11"/>
      <c r="P23" s="11"/>
      <c r="Q23" s="11"/>
    </row>
    <row r="24" spans="1:35" ht="4.5" customHeight="1" x14ac:dyDescent="0.35">
      <c r="A24" s="240"/>
      <c r="B24" s="246"/>
      <c r="C24" s="18"/>
      <c r="D24" s="18"/>
      <c r="E24" s="18"/>
      <c r="F24" s="18"/>
      <c r="G24" s="18"/>
      <c r="H24" s="18"/>
      <c r="I24" s="18"/>
      <c r="J24" s="18"/>
      <c r="K24" s="18"/>
      <c r="L24" s="18"/>
      <c r="M24" s="18"/>
      <c r="N24" s="18"/>
      <c r="O24" s="18"/>
      <c r="P24" s="18"/>
      <c r="Q24" s="19"/>
    </row>
    <row r="25" spans="1:35" ht="16.5" customHeight="1" x14ac:dyDescent="0.35">
      <c r="A25" s="241" t="s">
        <v>136</v>
      </c>
      <c r="B25" s="242" t="s">
        <v>3</v>
      </c>
      <c r="C25" s="245">
        <f>'1. Projekti elluviimise kulud'!D19</f>
        <v>50000</v>
      </c>
      <c r="D25" s="245">
        <f>'1. Projekti elluviimise kulud'!E19</f>
        <v>10938000</v>
      </c>
      <c r="E25" s="245">
        <f>'1. Projekti elluviimise kulud'!F19</f>
        <v>2000</v>
      </c>
      <c r="F25" s="245">
        <f>'1. Projekti elluviimise kulud'!G19</f>
        <v>0</v>
      </c>
      <c r="G25" s="245">
        <f>'1. Projekti elluviimise kulud'!H19</f>
        <v>0</v>
      </c>
      <c r="H25" s="245">
        <f>'1. Projekti elluviimise kulud'!I19</f>
        <v>0</v>
      </c>
      <c r="I25" s="258"/>
      <c r="J25" s="258"/>
      <c r="K25" s="258"/>
      <c r="L25" s="258"/>
      <c r="M25" s="258"/>
      <c r="N25" s="258"/>
      <c r="O25" s="258"/>
      <c r="P25" s="258"/>
      <c r="Q25" s="258"/>
    </row>
    <row r="26" spans="1:35" ht="16.5" customHeight="1" x14ac:dyDescent="0.35">
      <c r="A26" s="241" t="s">
        <v>137</v>
      </c>
      <c r="B26" s="242" t="s">
        <v>3</v>
      </c>
      <c r="C26" s="245">
        <f>'2. Tulud-kulud projektiga'!D118</f>
        <v>22253.616000000002</v>
      </c>
      <c r="D26" s="245">
        <f>'2. Tulud-kulud projektiga'!E118</f>
        <v>89014.464000000007</v>
      </c>
      <c r="E26" s="245">
        <f>'2. Tulud-kulud projektiga'!F118</f>
        <v>187568.82434690668</v>
      </c>
      <c r="F26" s="245">
        <f>'2. Tulud-kulud projektiga'!G118</f>
        <v>352184.37186727999</v>
      </c>
      <c r="G26" s="245">
        <f>'2. Tulud-kulud projektiga'!H118</f>
        <v>352184.37186727999</v>
      </c>
      <c r="H26" s="245">
        <f>'2. Tulud-kulud projektiga'!I118</f>
        <v>361855.93338767998</v>
      </c>
      <c r="I26" s="245">
        <f>'2. Tulud-kulud projektiga'!J118</f>
        <v>361855.93338767998</v>
      </c>
      <c r="J26" s="245">
        <f>'2. Tulud-kulud projektiga'!K118</f>
        <v>361855.93338767998</v>
      </c>
      <c r="K26" s="245">
        <f>'2. Tulud-kulud projektiga'!L118</f>
        <v>361855.93338767998</v>
      </c>
      <c r="L26" s="245">
        <f>'2. Tulud-kulud projektiga'!M118</f>
        <v>371527.49490807997</v>
      </c>
      <c r="M26" s="245">
        <f>'2. Tulud-kulud projektiga'!N118</f>
        <v>371527.49490807997</v>
      </c>
      <c r="N26" s="245">
        <f>'2. Tulud-kulud projektiga'!O118</f>
        <v>371527.49490807997</v>
      </c>
      <c r="O26" s="245">
        <f>'2. Tulud-kulud projektiga'!P118</f>
        <v>371527.49490807997</v>
      </c>
      <c r="P26" s="245">
        <f>'2. Tulud-kulud projektiga'!Q118</f>
        <v>371527.49490807997</v>
      </c>
      <c r="Q26" s="245">
        <f>'2. Tulud-kulud projektiga'!R118</f>
        <v>535597.49490807997</v>
      </c>
    </row>
    <row r="27" spans="1:35" ht="16.5" hidden="1" customHeight="1" x14ac:dyDescent="0.35">
      <c r="A27" s="241"/>
      <c r="B27" s="242" t="s">
        <v>3</v>
      </c>
      <c r="C27" s="11"/>
      <c r="D27" s="11"/>
      <c r="E27" s="11"/>
      <c r="F27" s="11"/>
      <c r="G27" s="11"/>
      <c r="H27" s="11"/>
      <c r="I27" s="11"/>
      <c r="J27" s="11"/>
      <c r="K27" s="11"/>
      <c r="L27" s="11"/>
      <c r="M27" s="11"/>
      <c r="N27" s="11"/>
      <c r="O27" s="11"/>
      <c r="P27" s="11"/>
      <c r="Q27" s="11"/>
    </row>
    <row r="28" spans="1:35" ht="16.5" customHeight="1" x14ac:dyDescent="0.35">
      <c r="A28" s="241" t="s">
        <v>127</v>
      </c>
      <c r="B28" s="242" t="s">
        <v>3</v>
      </c>
      <c r="C28" s="11"/>
      <c r="D28" s="11"/>
      <c r="E28" s="11"/>
      <c r="F28" s="11"/>
      <c r="G28" s="11"/>
      <c r="H28" s="11"/>
      <c r="I28" s="11"/>
      <c r="J28" s="11"/>
      <c r="K28" s="11">
        <v>26000</v>
      </c>
      <c r="L28" s="11">
        <v>107000</v>
      </c>
      <c r="M28" s="11">
        <v>90000</v>
      </c>
      <c r="N28" s="11"/>
      <c r="O28" s="11"/>
      <c r="P28" s="11"/>
      <c r="Q28" s="11"/>
    </row>
    <row r="29" spans="1:35" ht="16.5" hidden="1" customHeight="1" x14ac:dyDescent="0.35">
      <c r="A29" s="241" t="s">
        <v>128</v>
      </c>
      <c r="B29" s="242" t="s">
        <v>3</v>
      </c>
      <c r="C29" s="11"/>
      <c r="D29" s="11"/>
      <c r="E29" s="11"/>
      <c r="F29" s="11"/>
      <c r="G29" s="11"/>
      <c r="H29" s="11"/>
      <c r="I29" s="11"/>
      <c r="J29" s="11"/>
      <c r="K29" s="11"/>
      <c r="L29" s="11"/>
      <c r="M29" s="11"/>
      <c r="N29" s="11"/>
      <c r="O29" s="11"/>
      <c r="P29" s="11"/>
      <c r="Q29" s="11"/>
    </row>
    <row r="30" spans="1:35" ht="16.5" hidden="1" customHeight="1" x14ac:dyDescent="0.35">
      <c r="A30" s="241"/>
      <c r="B30" s="242" t="s">
        <v>3</v>
      </c>
      <c r="C30" s="11"/>
      <c r="D30" s="11"/>
      <c r="E30" s="11"/>
      <c r="F30" s="11"/>
      <c r="G30" s="11"/>
      <c r="H30" s="11"/>
      <c r="I30" s="11"/>
      <c r="J30" s="11"/>
      <c r="K30" s="11"/>
      <c r="L30" s="11"/>
      <c r="M30" s="11"/>
      <c r="N30" s="11"/>
      <c r="O30" s="11"/>
      <c r="P30" s="11"/>
      <c r="Q30" s="11"/>
    </row>
    <row r="31" spans="1:35" ht="16.5" hidden="1" customHeight="1" x14ac:dyDescent="0.35">
      <c r="A31" s="241"/>
      <c r="B31" s="242" t="s">
        <v>3</v>
      </c>
      <c r="C31" s="11"/>
      <c r="D31" s="11"/>
      <c r="E31" s="11"/>
      <c r="F31" s="11"/>
      <c r="G31" s="11"/>
      <c r="H31" s="11"/>
      <c r="I31" s="11"/>
      <c r="J31" s="11"/>
      <c r="K31" s="11"/>
      <c r="L31" s="11"/>
      <c r="M31" s="11"/>
      <c r="N31" s="11"/>
      <c r="O31" s="11"/>
      <c r="P31" s="11"/>
      <c r="Q31" s="11"/>
    </row>
    <row r="32" spans="1:35" ht="4.5" customHeight="1" x14ac:dyDescent="0.35">
      <c r="A32" s="259"/>
      <c r="B32" s="260"/>
      <c r="C32" s="258"/>
      <c r="D32" s="258"/>
      <c r="E32" s="258"/>
      <c r="F32" s="258"/>
      <c r="G32" s="258"/>
      <c r="H32" s="258"/>
      <c r="I32" s="258"/>
      <c r="J32" s="258"/>
      <c r="K32" s="258"/>
      <c r="L32" s="258"/>
      <c r="M32" s="258"/>
      <c r="N32" s="258"/>
      <c r="O32" s="258"/>
      <c r="P32" s="258"/>
      <c r="Q32" s="258"/>
    </row>
    <row r="33" spans="1:35" s="250" customFormat="1" ht="22.5" customHeight="1" x14ac:dyDescent="0.35">
      <c r="A33" s="247" t="s">
        <v>129</v>
      </c>
      <c r="B33" s="248" t="s">
        <v>3</v>
      </c>
      <c r="C33" s="249">
        <f t="shared" ref="C33:P33" si="5">SUM(C25:C31)</f>
        <v>72253.616000000009</v>
      </c>
      <c r="D33" s="249">
        <f t="shared" si="5"/>
        <v>11027014.464</v>
      </c>
      <c r="E33" s="249">
        <f t="shared" si="5"/>
        <v>189568.82434690668</v>
      </c>
      <c r="F33" s="249">
        <f t="shared" si="5"/>
        <v>352184.37186727999</v>
      </c>
      <c r="G33" s="249">
        <f t="shared" si="5"/>
        <v>352184.37186727999</v>
      </c>
      <c r="H33" s="249">
        <f t="shared" si="5"/>
        <v>361855.93338767998</v>
      </c>
      <c r="I33" s="249">
        <f t="shared" si="5"/>
        <v>361855.93338767998</v>
      </c>
      <c r="J33" s="249">
        <f t="shared" si="5"/>
        <v>361855.93338767998</v>
      </c>
      <c r="K33" s="249">
        <f t="shared" si="5"/>
        <v>387855.93338767998</v>
      </c>
      <c r="L33" s="249">
        <f t="shared" si="5"/>
        <v>478527.49490807997</v>
      </c>
      <c r="M33" s="249">
        <f t="shared" si="5"/>
        <v>461527.49490807997</v>
      </c>
      <c r="N33" s="249">
        <f t="shared" si="5"/>
        <v>371527.49490807997</v>
      </c>
      <c r="O33" s="249">
        <f t="shared" si="5"/>
        <v>371527.49490807997</v>
      </c>
      <c r="P33" s="249">
        <f t="shared" si="5"/>
        <v>371527.49490807997</v>
      </c>
      <c r="Q33" s="249">
        <f t="shared" ref="Q33" si="6">SUM(Q25:Q31)</f>
        <v>535597.49490807997</v>
      </c>
      <c r="R33" s="3"/>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3"/>
      <c r="S35" s="3"/>
      <c r="T35" s="3"/>
      <c r="U35" s="3"/>
      <c r="V35" s="3"/>
      <c r="W35" s="3"/>
      <c r="X35" s="3"/>
      <c r="Y35" s="3"/>
      <c r="Z35" s="3"/>
      <c r="AA35" s="3"/>
      <c r="AB35" s="3"/>
      <c r="AC35" s="3"/>
      <c r="AD35" s="3"/>
      <c r="AE35" s="3"/>
      <c r="AF35" s="3"/>
      <c r="AG35" s="3"/>
      <c r="AH35" s="3"/>
      <c r="AI35" s="3"/>
    </row>
    <row r="36" spans="1:35" s="266" customFormat="1" ht="18" customHeight="1" x14ac:dyDescent="0.35">
      <c r="A36" s="263" t="s">
        <v>130</v>
      </c>
      <c r="B36" s="248" t="s">
        <v>3</v>
      </c>
      <c r="C36" s="264">
        <f t="shared" ref="C36:P36" si="7">C20-C33</f>
        <v>0</v>
      </c>
      <c r="D36" s="264">
        <f t="shared" si="7"/>
        <v>0</v>
      </c>
      <c r="E36" s="264">
        <f t="shared" si="7"/>
        <v>25897.906350366655</v>
      </c>
      <c r="F36" s="264">
        <f t="shared" si="7"/>
        <v>-25813.107775459997</v>
      </c>
      <c r="G36" s="264">
        <f t="shared" si="7"/>
        <v>186.89222454000264</v>
      </c>
      <c r="H36" s="264">
        <f t="shared" si="7"/>
        <v>73440.96280615998</v>
      </c>
      <c r="I36" s="264">
        <f t="shared" si="7"/>
        <v>-15573.501193839998</v>
      </c>
      <c r="J36" s="264">
        <f t="shared" si="7"/>
        <v>-15573.501193839998</v>
      </c>
      <c r="K36" s="264">
        <f t="shared" si="7"/>
        <v>-41573.501193839998</v>
      </c>
      <c r="L36" s="264">
        <f t="shared" si="7"/>
        <v>43249.401397980051</v>
      </c>
      <c r="M36" s="264">
        <f t="shared" si="7"/>
        <v>60249.401397980051</v>
      </c>
      <c r="N36" s="264">
        <f t="shared" si="7"/>
        <v>150249.40139798005</v>
      </c>
      <c r="O36" s="264">
        <f t="shared" si="7"/>
        <v>150249.40139798005</v>
      </c>
      <c r="P36" s="264">
        <f t="shared" si="7"/>
        <v>150249.40139798005</v>
      </c>
      <c r="Q36" s="264">
        <f t="shared" ref="Q36" si="8">Q20-Q33</f>
        <v>-13820.598602019949</v>
      </c>
      <c r="R36" s="265"/>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row>
    <row r="38" spans="1:35" s="250" customFormat="1" ht="22.5" customHeight="1" x14ac:dyDescent="0.35">
      <c r="A38" s="247" t="s">
        <v>131</v>
      </c>
      <c r="B38" s="248" t="s">
        <v>3</v>
      </c>
      <c r="C38" s="249">
        <f>C36</f>
        <v>0</v>
      </c>
      <c r="D38" s="249">
        <f>C38+D36</f>
        <v>0</v>
      </c>
      <c r="E38" s="249">
        <f t="shared" ref="E38:O38" si="9">D38+E36</f>
        <v>25897.906350366655</v>
      </c>
      <c r="F38" s="249">
        <f t="shared" si="9"/>
        <v>84.79857490665745</v>
      </c>
      <c r="G38" s="249">
        <f t="shared" si="9"/>
        <v>271.69079944666009</v>
      </c>
      <c r="H38" s="249">
        <f t="shared" si="9"/>
        <v>73712.65360560664</v>
      </c>
      <c r="I38" s="249">
        <f t="shared" si="9"/>
        <v>58139.152411766641</v>
      </c>
      <c r="J38" s="249">
        <f t="shared" si="9"/>
        <v>42565.651217926643</v>
      </c>
      <c r="K38" s="249">
        <f t="shared" si="9"/>
        <v>992.15002408664441</v>
      </c>
      <c r="L38" s="249">
        <f t="shared" si="9"/>
        <v>44241.551422066696</v>
      </c>
      <c r="M38" s="249">
        <f t="shared" si="9"/>
        <v>104490.95282004675</v>
      </c>
      <c r="N38" s="249">
        <f t="shared" si="9"/>
        <v>254740.3542180268</v>
      </c>
      <c r="O38" s="249">
        <f t="shared" si="9"/>
        <v>404989.75561600685</v>
      </c>
      <c r="P38" s="249">
        <f t="shared" ref="P38" si="10">O38+P36</f>
        <v>555239.15701398696</v>
      </c>
      <c r="Q38" s="249">
        <f t="shared" ref="Q38" si="11">P38+Q36</f>
        <v>541418.55841196701</v>
      </c>
      <c r="R38" s="3"/>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row>
    <row r="41" spans="1:35" s="270" customFormat="1" ht="13" x14ac:dyDescent="0.35">
      <c r="A41" s="267" t="s">
        <v>132</v>
      </c>
      <c r="B41" s="267"/>
      <c r="C41" s="268">
        <f>C16-C28</f>
        <v>0</v>
      </c>
      <c r="D41" s="268">
        <f t="shared" ref="D41:O41" si="12">C41+D16-D28</f>
        <v>0</v>
      </c>
      <c r="E41" s="268">
        <f t="shared" si="12"/>
        <v>67000</v>
      </c>
      <c r="F41" s="268">
        <f t="shared" si="12"/>
        <v>132000</v>
      </c>
      <c r="G41" s="268">
        <f t="shared" si="12"/>
        <v>223000</v>
      </c>
      <c r="H41" s="268">
        <f t="shared" si="12"/>
        <v>223000</v>
      </c>
      <c r="I41" s="268">
        <f t="shared" si="12"/>
        <v>223000</v>
      </c>
      <c r="J41" s="268">
        <f t="shared" si="12"/>
        <v>223000</v>
      </c>
      <c r="K41" s="268">
        <f t="shared" si="12"/>
        <v>197000</v>
      </c>
      <c r="L41" s="268">
        <f t="shared" si="12"/>
        <v>90000</v>
      </c>
      <c r="M41" s="268">
        <f t="shared" si="12"/>
        <v>0</v>
      </c>
      <c r="N41" s="268">
        <f t="shared" si="12"/>
        <v>0</v>
      </c>
      <c r="O41" s="268">
        <f t="shared" si="12"/>
        <v>0</v>
      </c>
      <c r="P41" s="268">
        <f t="shared" ref="P41" si="13">O41+P16-P28</f>
        <v>0</v>
      </c>
      <c r="Q41" s="268">
        <f t="shared" ref="Q41" si="14">P41+Q16-Q28</f>
        <v>0</v>
      </c>
      <c r="R41" s="269"/>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workbookViewId="0"/>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5" t="s">
        <v>180</v>
      </c>
      <c r="H1" s="296" t="s">
        <v>181</v>
      </c>
    </row>
    <row r="2" spans="1:35" ht="8.25" customHeight="1" x14ac:dyDescent="0.35"/>
    <row r="3" spans="1:35" s="237" customFormat="1" ht="23.25" customHeight="1" x14ac:dyDescent="0.35">
      <c r="A3" s="233"/>
      <c r="B3" s="234"/>
      <c r="C3" s="297">
        <f>'2. Tulud-kulud projektiga'!D3</f>
        <v>2024</v>
      </c>
      <c r="D3" s="297">
        <f>C3+1</f>
        <v>2025</v>
      </c>
      <c r="E3" s="297">
        <f t="shared" ref="E3:O3" si="0">D3+1</f>
        <v>2026</v>
      </c>
      <c r="F3" s="297">
        <f t="shared" si="0"/>
        <v>2027</v>
      </c>
      <c r="G3" s="297">
        <f t="shared" si="0"/>
        <v>2028</v>
      </c>
      <c r="H3" s="297">
        <f t="shared" si="0"/>
        <v>2029</v>
      </c>
      <c r="I3" s="297">
        <f t="shared" si="0"/>
        <v>2030</v>
      </c>
      <c r="J3" s="297">
        <f t="shared" si="0"/>
        <v>2031</v>
      </c>
      <c r="K3" s="297">
        <f t="shared" si="0"/>
        <v>2032</v>
      </c>
      <c r="L3" s="297">
        <f t="shared" si="0"/>
        <v>2033</v>
      </c>
      <c r="M3" s="297">
        <f t="shared" si="0"/>
        <v>2034</v>
      </c>
      <c r="N3" s="297">
        <f t="shared" si="0"/>
        <v>2035</v>
      </c>
      <c r="O3" s="297">
        <f t="shared" si="0"/>
        <v>2036</v>
      </c>
      <c r="P3" s="297">
        <f t="shared" ref="P3" si="1">O3+1</f>
        <v>2037</v>
      </c>
      <c r="Q3" s="297">
        <f t="shared" ref="Q3" si="2">P3+1</f>
        <v>2038</v>
      </c>
      <c r="R3" s="298"/>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9"/>
      <c r="D4" s="299"/>
      <c r="E4" s="299"/>
      <c r="F4" s="299"/>
      <c r="G4" s="299"/>
      <c r="H4" s="299"/>
      <c r="I4" s="299"/>
      <c r="J4" s="299"/>
      <c r="K4" s="299"/>
      <c r="L4" s="299"/>
      <c r="M4" s="299"/>
      <c r="N4" s="299"/>
      <c r="O4" s="299"/>
      <c r="P4" s="299"/>
      <c r="Q4" s="300"/>
      <c r="R4" s="301"/>
    </row>
    <row r="5" spans="1:35" ht="20.25" customHeight="1" x14ac:dyDescent="0.35">
      <c r="A5" s="302" t="s">
        <v>182</v>
      </c>
      <c r="B5" s="303"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304" t="s">
        <v>183</v>
      </c>
      <c r="B7" s="305" t="s">
        <v>3</v>
      </c>
      <c r="C7" s="306">
        <f>'4. Lisanduvad tulud-kulud'!D53</f>
        <v>0</v>
      </c>
      <c r="D7" s="306">
        <f>'4. Lisanduvad tulud-kulud'!E53</f>
        <v>0</v>
      </c>
      <c r="E7" s="306">
        <f>'4. Lisanduvad tulud-kulud'!F53</f>
        <v>57452.266697273335</v>
      </c>
      <c r="F7" s="306">
        <f>'4. Lisanduvad tulud-kulud'!G53</f>
        <v>172356.80009182001</v>
      </c>
      <c r="G7" s="306">
        <f>'4. Lisanduvad tulud-kulud'!H53</f>
        <v>172356.80009182001</v>
      </c>
      <c r="H7" s="306">
        <f>'4. Lisanduvad tulud-kulud'!I53</f>
        <v>346282.43219383998</v>
      </c>
      <c r="I7" s="306">
        <f>'4. Lisanduvad tulud-kulud'!J53</f>
        <v>346282.43219383998</v>
      </c>
      <c r="J7" s="306">
        <f>'4. Lisanduvad tulud-kulud'!K53</f>
        <v>346282.43219383998</v>
      </c>
      <c r="K7" s="306">
        <f>'4. Lisanduvad tulud-kulud'!L53</f>
        <v>346282.43219383998</v>
      </c>
      <c r="L7" s="306">
        <f>'4. Lisanduvad tulud-kulud'!M53</f>
        <v>521776.89630606002</v>
      </c>
      <c r="M7" s="306">
        <f>'4. Lisanduvad tulud-kulud'!N53</f>
        <v>521776.89630606002</v>
      </c>
      <c r="N7" s="306">
        <f>'4. Lisanduvad tulud-kulud'!O53</f>
        <v>521776.89630606002</v>
      </c>
      <c r="O7" s="306">
        <f>'4. Lisanduvad tulud-kulud'!P53</f>
        <v>521776.89630606002</v>
      </c>
      <c r="P7" s="306">
        <f>'4. Lisanduvad tulud-kulud'!Q53</f>
        <v>521776.89630606002</v>
      </c>
      <c r="Q7" s="306">
        <f>'4. Lisanduvad tulud-kulud'!R53</f>
        <v>521776.89630606002</v>
      </c>
    </row>
    <row r="8" spans="1:35" s="244" customFormat="1" ht="16.5" customHeight="1" x14ac:dyDescent="0.35">
      <c r="A8" s="307" t="s">
        <v>184</v>
      </c>
      <c r="B8" s="305" t="s">
        <v>3</v>
      </c>
      <c r="C8" s="308"/>
      <c r="D8" s="308"/>
      <c r="E8" s="308"/>
      <c r="F8" s="308"/>
      <c r="G8" s="308"/>
      <c r="H8" s="308"/>
      <c r="I8" s="308"/>
      <c r="J8" s="308"/>
      <c r="K8" s="308"/>
      <c r="L8" s="308"/>
      <c r="M8" s="308"/>
      <c r="N8" s="308"/>
      <c r="O8" s="308"/>
      <c r="P8" s="308"/>
      <c r="Q8" s="306">
        <f>'8. Jääkväärtus'!Q14</f>
        <v>0</v>
      </c>
    </row>
    <row r="9" spans="1:35" ht="16.5" hidden="1" customHeight="1" x14ac:dyDescent="0.35">
      <c r="A9" s="241"/>
      <c r="B9" s="242" t="s">
        <v>3</v>
      </c>
      <c r="C9" s="11"/>
      <c r="D9" s="11"/>
      <c r="E9" s="11"/>
      <c r="F9" s="11"/>
      <c r="G9" s="11"/>
      <c r="H9" s="11"/>
      <c r="I9" s="11"/>
      <c r="J9" s="11"/>
      <c r="K9" s="11"/>
      <c r="L9" s="11"/>
      <c r="M9" s="11"/>
      <c r="N9" s="11"/>
      <c r="O9" s="11"/>
      <c r="P9" s="11"/>
      <c r="Q9" s="11"/>
    </row>
    <row r="10" spans="1:35" ht="4.5" customHeight="1" x14ac:dyDescent="0.35">
      <c r="A10" s="238"/>
      <c r="B10" s="246"/>
      <c r="C10" s="18"/>
      <c r="D10" s="18"/>
      <c r="E10" s="18"/>
      <c r="F10" s="18"/>
      <c r="G10" s="18"/>
      <c r="H10" s="18"/>
      <c r="I10" s="18"/>
      <c r="J10" s="18"/>
      <c r="K10" s="18"/>
      <c r="L10" s="18"/>
      <c r="M10" s="18"/>
      <c r="N10" s="18"/>
      <c r="O10" s="18"/>
      <c r="P10" s="18"/>
      <c r="Q10" s="19"/>
    </row>
    <row r="11" spans="1:35" s="250" customFormat="1" ht="22.5" customHeight="1" x14ac:dyDescent="0.35">
      <c r="A11" s="309" t="s">
        <v>185</v>
      </c>
      <c r="B11" s="310" t="s">
        <v>3</v>
      </c>
      <c r="C11" s="311">
        <f t="shared" ref="C11:Q11" si="3">SUM(C7:C9)</f>
        <v>0</v>
      </c>
      <c r="D11" s="311">
        <f t="shared" si="3"/>
        <v>0</v>
      </c>
      <c r="E11" s="311">
        <f t="shared" si="3"/>
        <v>57452.266697273335</v>
      </c>
      <c r="F11" s="311">
        <f t="shared" si="3"/>
        <v>172356.80009182001</v>
      </c>
      <c r="G11" s="311">
        <f t="shared" si="3"/>
        <v>172356.80009182001</v>
      </c>
      <c r="H11" s="311">
        <f t="shared" si="3"/>
        <v>346282.43219383998</v>
      </c>
      <c r="I11" s="311">
        <f t="shared" si="3"/>
        <v>346282.43219383998</v>
      </c>
      <c r="J11" s="311">
        <f t="shared" si="3"/>
        <v>346282.43219383998</v>
      </c>
      <c r="K11" s="311">
        <f t="shared" si="3"/>
        <v>346282.43219383998</v>
      </c>
      <c r="L11" s="311">
        <f t="shared" si="3"/>
        <v>521776.89630606002</v>
      </c>
      <c r="M11" s="311">
        <f t="shared" si="3"/>
        <v>521776.89630606002</v>
      </c>
      <c r="N11" s="311">
        <f t="shared" si="3"/>
        <v>521776.89630606002</v>
      </c>
      <c r="O11" s="311">
        <f t="shared" si="3"/>
        <v>521776.89630606002</v>
      </c>
      <c r="P11" s="311">
        <f t="shared" si="3"/>
        <v>521776.89630606002</v>
      </c>
      <c r="Q11" s="311">
        <f t="shared" si="3"/>
        <v>521776.89630606002</v>
      </c>
      <c r="R11" s="3"/>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row>
    <row r="14" spans="1:35" ht="20.25" customHeight="1" x14ac:dyDescent="0.35">
      <c r="A14" s="302" t="s">
        <v>186</v>
      </c>
      <c r="B14" s="257"/>
      <c r="C14" s="11"/>
      <c r="D14" s="11"/>
      <c r="E14" s="11"/>
      <c r="F14" s="11"/>
      <c r="G14" s="11"/>
      <c r="H14" s="11"/>
      <c r="I14" s="11"/>
      <c r="J14" s="11"/>
      <c r="K14" s="11"/>
      <c r="L14" s="11"/>
      <c r="M14" s="11"/>
      <c r="N14" s="11"/>
      <c r="O14" s="11"/>
      <c r="P14" s="11"/>
      <c r="Q14" s="11"/>
    </row>
    <row r="15" spans="1:35" ht="4.5" customHeight="1" x14ac:dyDescent="0.35">
      <c r="A15" s="240"/>
      <c r="B15" s="246"/>
      <c r="C15" s="18"/>
      <c r="D15" s="18"/>
      <c r="E15" s="18"/>
      <c r="F15" s="18"/>
      <c r="G15" s="18"/>
      <c r="H15" s="18"/>
      <c r="I15" s="18"/>
      <c r="J15" s="18"/>
      <c r="K15" s="18"/>
      <c r="L15" s="18"/>
      <c r="M15" s="18"/>
      <c r="N15" s="18"/>
      <c r="O15" s="18"/>
      <c r="P15" s="18"/>
      <c r="Q15" s="19"/>
    </row>
    <row r="16" spans="1:35" ht="16.5" customHeight="1" x14ac:dyDescent="0.35">
      <c r="A16" s="307" t="s">
        <v>187</v>
      </c>
      <c r="B16" s="305" t="s">
        <v>3</v>
      </c>
      <c r="C16" s="306">
        <f>'4. Lisanduvad tulud-kulud'!D118</f>
        <v>22253.616000000002</v>
      </c>
      <c r="D16" s="306">
        <f>'4. Lisanduvad tulud-kulud'!E118</f>
        <v>89014.464000000007</v>
      </c>
      <c r="E16" s="306">
        <f>'4. Lisanduvad tulud-kulud'!F118</f>
        <v>187568.82434690668</v>
      </c>
      <c r="F16" s="306">
        <f>'4. Lisanduvad tulud-kulud'!G118</f>
        <v>352184.37186727999</v>
      </c>
      <c r="G16" s="306">
        <f>'4. Lisanduvad tulud-kulud'!H118</f>
        <v>352184.37186727999</v>
      </c>
      <c r="H16" s="306">
        <f>'4. Lisanduvad tulud-kulud'!I118</f>
        <v>361855.93338767998</v>
      </c>
      <c r="I16" s="306">
        <f>'4. Lisanduvad tulud-kulud'!J118</f>
        <v>361855.93338767998</v>
      </c>
      <c r="J16" s="306">
        <f>'4. Lisanduvad tulud-kulud'!K118</f>
        <v>361855.93338767998</v>
      </c>
      <c r="K16" s="306">
        <f>'4. Lisanduvad tulud-kulud'!L118</f>
        <v>361855.93338767998</v>
      </c>
      <c r="L16" s="306">
        <f>'4. Lisanduvad tulud-kulud'!M118</f>
        <v>371527.49490807997</v>
      </c>
      <c r="M16" s="306">
        <f>'4. Lisanduvad tulud-kulud'!N118</f>
        <v>371527.49490807997</v>
      </c>
      <c r="N16" s="306">
        <f>'4. Lisanduvad tulud-kulud'!O118</f>
        <v>371527.49490807997</v>
      </c>
      <c r="O16" s="306">
        <f>'4. Lisanduvad tulud-kulud'!P118</f>
        <v>371527.49490807997</v>
      </c>
      <c r="P16" s="306">
        <f>'4. Lisanduvad tulud-kulud'!Q118</f>
        <v>371527.49490807997</v>
      </c>
      <c r="Q16" s="306">
        <f>'4. Lisanduvad tulud-kulud'!R118</f>
        <v>535597.49490807997</v>
      </c>
    </row>
    <row r="17" spans="1:35" ht="16.5" customHeight="1" x14ac:dyDescent="0.35">
      <c r="A17" s="307" t="s">
        <v>127</v>
      </c>
      <c r="B17" s="305" t="s">
        <v>3</v>
      </c>
      <c r="C17" s="306">
        <f>'6. Rahavood'!C28</f>
        <v>0</v>
      </c>
      <c r="D17" s="306">
        <f>'6. Rahavood'!D28</f>
        <v>0</v>
      </c>
      <c r="E17" s="306">
        <f>'6. Rahavood'!E28</f>
        <v>0</v>
      </c>
      <c r="F17" s="306">
        <f>'6. Rahavood'!F28</f>
        <v>0</v>
      </c>
      <c r="G17" s="306">
        <f>'6. Rahavood'!G28</f>
        <v>0</v>
      </c>
      <c r="H17" s="306">
        <f>'6. Rahavood'!H28</f>
        <v>0</v>
      </c>
      <c r="I17" s="306">
        <f>'6. Rahavood'!I28</f>
        <v>0</v>
      </c>
      <c r="J17" s="306">
        <f>'6. Rahavood'!J28</f>
        <v>0</v>
      </c>
      <c r="K17" s="306">
        <f>'6. Rahavood'!K28</f>
        <v>26000</v>
      </c>
      <c r="L17" s="306">
        <f>'6. Rahavood'!L28</f>
        <v>107000</v>
      </c>
      <c r="M17" s="306">
        <f>'6. Rahavood'!M28</f>
        <v>90000</v>
      </c>
      <c r="N17" s="306">
        <f>'6. Rahavood'!N28</f>
        <v>0</v>
      </c>
      <c r="O17" s="306">
        <f>'6. Rahavood'!O28</f>
        <v>0</v>
      </c>
      <c r="P17" s="306">
        <f>'6. Rahavood'!P28</f>
        <v>0</v>
      </c>
      <c r="Q17" s="306">
        <f>'6. Rahavood'!Q28</f>
        <v>0</v>
      </c>
    </row>
    <row r="18" spans="1:35" ht="16.5" customHeight="1" x14ac:dyDescent="0.35">
      <c r="A18" s="307" t="s">
        <v>128</v>
      </c>
      <c r="B18" s="305" t="s">
        <v>3</v>
      </c>
      <c r="C18" s="306">
        <f>'6. Rahavood'!C29</f>
        <v>0</v>
      </c>
      <c r="D18" s="306">
        <f>'6. Rahavood'!D29</f>
        <v>0</v>
      </c>
      <c r="E18" s="306">
        <f>'6. Rahavood'!E29</f>
        <v>0</v>
      </c>
      <c r="F18" s="306">
        <f>'6. Rahavood'!F29</f>
        <v>0</v>
      </c>
      <c r="G18" s="306">
        <f>'6. Rahavood'!G29</f>
        <v>0</v>
      </c>
      <c r="H18" s="306">
        <f>'6. Rahavood'!H29</f>
        <v>0</v>
      </c>
      <c r="I18" s="306">
        <f>'6. Rahavood'!I29</f>
        <v>0</v>
      </c>
      <c r="J18" s="306">
        <f>'6. Rahavood'!J29</f>
        <v>0</v>
      </c>
      <c r="K18" s="306">
        <f>'6. Rahavood'!K29</f>
        <v>0</v>
      </c>
      <c r="L18" s="306">
        <f>'6. Rahavood'!L29</f>
        <v>0</v>
      </c>
      <c r="M18" s="306">
        <f>'6. Rahavood'!M29</f>
        <v>0</v>
      </c>
      <c r="N18" s="306">
        <f>'6. Rahavood'!N29</f>
        <v>0</v>
      </c>
      <c r="O18" s="306">
        <f>'6. Rahavood'!O29</f>
        <v>0</v>
      </c>
      <c r="P18" s="306">
        <f>'6. Rahavood'!P29</f>
        <v>0</v>
      </c>
      <c r="Q18" s="306">
        <f>'6. Rahavood'!Q29</f>
        <v>0</v>
      </c>
    </row>
    <row r="19" spans="1:35" ht="16.5" customHeight="1" x14ac:dyDescent="0.35">
      <c r="A19" s="307" t="s">
        <v>188</v>
      </c>
      <c r="B19" s="305" t="s">
        <v>3</v>
      </c>
      <c r="C19" s="306">
        <f>'6. Rahavood'!C14</f>
        <v>0</v>
      </c>
      <c r="D19" s="306">
        <f>'6. Rahavood'!D14</f>
        <v>0</v>
      </c>
      <c r="E19" s="306">
        <f>'6. Rahavood'!E14</f>
        <v>0</v>
      </c>
      <c r="F19" s="306">
        <f>'6. Rahavood'!F14</f>
        <v>0</v>
      </c>
      <c r="G19" s="306">
        <f>'6. Rahavood'!G14</f>
        <v>0</v>
      </c>
      <c r="H19" s="306">
        <f>'6. Rahavood'!H14</f>
        <v>0</v>
      </c>
      <c r="I19" s="306">
        <f>'6. Rahavood'!I14</f>
        <v>0</v>
      </c>
      <c r="J19" s="306">
        <f>'6. Rahavood'!J14</f>
        <v>0</v>
      </c>
      <c r="K19" s="306">
        <f>'6. Rahavood'!K14</f>
        <v>0</v>
      </c>
      <c r="L19" s="306">
        <f>'6. Rahavood'!L14</f>
        <v>0</v>
      </c>
      <c r="M19" s="306">
        <f>'6. Rahavood'!M14</f>
        <v>0</v>
      </c>
      <c r="N19" s="306">
        <f>'6. Rahavood'!N14</f>
        <v>0</v>
      </c>
      <c r="O19" s="306">
        <f>'6. Rahavood'!O14</f>
        <v>0</v>
      </c>
      <c r="P19" s="306">
        <f>'6. Rahavood'!P14</f>
        <v>0</v>
      </c>
      <c r="Q19" s="306">
        <f>'6. Rahavood'!Q14</f>
        <v>0</v>
      </c>
    </row>
    <row r="20" spans="1:35" ht="16.5" customHeight="1" x14ac:dyDescent="0.35">
      <c r="A20" s="307" t="s">
        <v>189</v>
      </c>
      <c r="B20" s="305" t="s">
        <v>3</v>
      </c>
      <c r="C20" s="306">
        <f>SUM('6. Rahavood'!C8:C12)</f>
        <v>22253.616000000002</v>
      </c>
      <c r="D20" s="306">
        <f>SUM('6. Rahavood'!D8:D12)</f>
        <v>89014.464000000007</v>
      </c>
      <c r="E20" s="306">
        <f>SUM('6. Rahavood'!E8:E12)</f>
        <v>89014.464000000007</v>
      </c>
      <c r="F20" s="306">
        <f>SUM('6. Rahavood'!F8:F12)</f>
        <v>89014.464000000007</v>
      </c>
      <c r="G20" s="306">
        <f>SUM('6. Rahavood'!G8:G12)</f>
        <v>89014.464000000007</v>
      </c>
      <c r="H20" s="306">
        <f>SUM('6. Rahavood'!H8:H12)</f>
        <v>89014.464000000007</v>
      </c>
      <c r="I20" s="306">
        <f>SUM('6. Rahavood'!I8:I12)</f>
        <v>0</v>
      </c>
      <c r="J20" s="306">
        <f>SUM('6. Rahavood'!J8:J12)</f>
        <v>0</v>
      </c>
      <c r="K20" s="306">
        <f>SUM('6. Rahavood'!K8:K12)</f>
        <v>0</v>
      </c>
      <c r="L20" s="306">
        <f>SUM('6. Rahavood'!L8:L12)</f>
        <v>0</v>
      </c>
      <c r="M20" s="306">
        <f>SUM('6. Rahavood'!M8:M12)</f>
        <v>0</v>
      </c>
      <c r="N20" s="306">
        <f>SUM('6. Rahavood'!N8:N12)</f>
        <v>0</v>
      </c>
      <c r="O20" s="306">
        <f>SUM('6. Rahavood'!O8:O12)</f>
        <v>0</v>
      </c>
      <c r="P20" s="306">
        <f>SUM('6. Rahavood'!P8:P12)</f>
        <v>0</v>
      </c>
      <c r="Q20" s="306">
        <f>SUM('6. Rahavood'!Q8:Q12)</f>
        <v>0</v>
      </c>
    </row>
    <row r="21" spans="1:35" ht="4.5" customHeight="1" x14ac:dyDescent="0.35">
      <c r="A21" s="259"/>
      <c r="B21" s="260"/>
      <c r="C21" s="258"/>
      <c r="D21" s="258"/>
      <c r="E21" s="258"/>
      <c r="F21" s="258"/>
      <c r="G21" s="258"/>
      <c r="H21" s="258"/>
      <c r="I21" s="258"/>
      <c r="J21" s="258"/>
      <c r="K21" s="258"/>
      <c r="L21" s="258"/>
      <c r="M21" s="258"/>
      <c r="N21" s="258"/>
      <c r="O21" s="258"/>
      <c r="P21" s="258"/>
      <c r="Q21" s="258"/>
    </row>
    <row r="22" spans="1:35" s="250" customFormat="1" ht="22.5" customHeight="1" x14ac:dyDescent="0.35">
      <c r="A22" s="309" t="s">
        <v>190</v>
      </c>
      <c r="B22" s="310" t="s">
        <v>3</v>
      </c>
      <c r="C22" s="311">
        <f t="shared" ref="C22:Q22" si="4">SUM(C16:C20)</f>
        <v>44507.232000000004</v>
      </c>
      <c r="D22" s="311">
        <f t="shared" si="4"/>
        <v>178028.92800000001</v>
      </c>
      <c r="E22" s="311">
        <f t="shared" si="4"/>
        <v>276583.28834690666</v>
      </c>
      <c r="F22" s="311">
        <f t="shared" si="4"/>
        <v>441198.83586728002</v>
      </c>
      <c r="G22" s="311">
        <f t="shared" si="4"/>
        <v>441198.83586728002</v>
      </c>
      <c r="H22" s="311">
        <f t="shared" si="4"/>
        <v>450870.39738768002</v>
      </c>
      <c r="I22" s="311">
        <f t="shared" si="4"/>
        <v>361855.93338767998</v>
      </c>
      <c r="J22" s="311">
        <f t="shared" si="4"/>
        <v>361855.93338767998</v>
      </c>
      <c r="K22" s="311">
        <f t="shared" si="4"/>
        <v>387855.93338767998</v>
      </c>
      <c r="L22" s="311">
        <f t="shared" si="4"/>
        <v>478527.49490807997</v>
      </c>
      <c r="M22" s="311">
        <f t="shared" si="4"/>
        <v>461527.49490807997</v>
      </c>
      <c r="N22" s="311">
        <f t="shared" si="4"/>
        <v>371527.49490807997</v>
      </c>
      <c r="O22" s="311">
        <f t="shared" si="4"/>
        <v>371527.49490807997</v>
      </c>
      <c r="P22" s="311">
        <f t="shared" si="4"/>
        <v>371527.49490807997</v>
      </c>
      <c r="Q22" s="311">
        <f t="shared" si="4"/>
        <v>535597.49490807997</v>
      </c>
      <c r="R22" s="3"/>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3"/>
      <c r="S24" s="3"/>
      <c r="T24" s="3"/>
      <c r="U24" s="3"/>
      <c r="V24" s="3"/>
      <c r="W24" s="3"/>
      <c r="X24" s="3"/>
      <c r="Y24" s="3"/>
      <c r="Z24" s="3"/>
      <c r="AA24" s="3"/>
      <c r="AB24" s="3"/>
      <c r="AC24" s="3"/>
      <c r="AD24" s="3"/>
      <c r="AE24" s="3"/>
      <c r="AF24" s="3"/>
      <c r="AG24" s="3"/>
      <c r="AH24" s="3"/>
      <c r="AI24" s="3"/>
    </row>
    <row r="25" spans="1:35" s="266" customFormat="1" ht="33" customHeight="1" x14ac:dyDescent="0.35">
      <c r="A25" s="312" t="s">
        <v>191</v>
      </c>
      <c r="B25" s="313" t="s">
        <v>3</v>
      </c>
      <c r="C25" s="314">
        <f t="shared" ref="C25:Q25" si="5">C11-C22</f>
        <v>-44507.232000000004</v>
      </c>
      <c r="D25" s="314">
        <f t="shared" si="5"/>
        <v>-178028.92800000001</v>
      </c>
      <c r="E25" s="314">
        <f t="shared" si="5"/>
        <v>-219131.02164963333</v>
      </c>
      <c r="F25" s="314">
        <f t="shared" si="5"/>
        <v>-268842.03577546001</v>
      </c>
      <c r="G25" s="314">
        <f t="shared" si="5"/>
        <v>-268842.03577546001</v>
      </c>
      <c r="H25" s="314">
        <f t="shared" si="5"/>
        <v>-104587.96519384003</v>
      </c>
      <c r="I25" s="314">
        <f t="shared" si="5"/>
        <v>-15573.501193839998</v>
      </c>
      <c r="J25" s="314">
        <f t="shared" si="5"/>
        <v>-15573.501193839998</v>
      </c>
      <c r="K25" s="314">
        <f t="shared" si="5"/>
        <v>-41573.501193839998</v>
      </c>
      <c r="L25" s="314">
        <f t="shared" si="5"/>
        <v>43249.401397980051</v>
      </c>
      <c r="M25" s="314">
        <f t="shared" si="5"/>
        <v>60249.401397980051</v>
      </c>
      <c r="N25" s="314">
        <f t="shared" si="5"/>
        <v>150249.40139798005</v>
      </c>
      <c r="O25" s="314">
        <f t="shared" si="5"/>
        <v>150249.40139798005</v>
      </c>
      <c r="P25" s="314">
        <f t="shared" si="5"/>
        <v>150249.40139798005</v>
      </c>
      <c r="Q25" s="314">
        <f t="shared" si="5"/>
        <v>-13820.598602019949</v>
      </c>
      <c r="R25" s="265"/>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row>
    <row r="28" spans="1:35" ht="16.5" customHeight="1" x14ac:dyDescent="0.35">
      <c r="A28" s="830" t="s">
        <v>192</v>
      </c>
      <c r="B28" s="830"/>
      <c r="C28" s="831">
        <f>'5. Abikõlblik kulu'!C3</f>
        <v>0.04</v>
      </c>
      <c r="D28" s="831"/>
    </row>
    <row r="29" spans="1:35" ht="18.75" customHeight="1" x14ac:dyDescent="0.35">
      <c r="A29" s="830" t="s">
        <v>193</v>
      </c>
      <c r="B29" s="830"/>
      <c r="C29" s="832">
        <f>NPV(C28,C25:Q25)</f>
        <v>-656529.03142760566</v>
      </c>
      <c r="D29" s="832"/>
    </row>
    <row r="30" spans="1:35" ht="18.75" customHeight="1" x14ac:dyDescent="0.35">
      <c r="A30" s="830" t="s">
        <v>194</v>
      </c>
      <c r="B30" s="830"/>
      <c r="C30" s="831">
        <f>IRR(C25:Q25,J30)</f>
        <v>-8.7293511461558837E-2</v>
      </c>
      <c r="D30" s="833"/>
      <c r="I30" s="72" t="s">
        <v>195</v>
      </c>
      <c r="J30" s="315">
        <v>-0.09</v>
      </c>
    </row>
    <row r="33" spans="1:17" ht="18.5" x14ac:dyDescent="0.35">
      <c r="A33" s="295" t="s">
        <v>196</v>
      </c>
      <c r="H33" s="296" t="s">
        <v>197</v>
      </c>
    </row>
    <row r="35" spans="1:17" ht="21" customHeight="1" x14ac:dyDescent="0.35">
      <c r="A35" s="233"/>
      <c r="B35" s="234"/>
      <c r="C35" s="297">
        <f>C3</f>
        <v>2024</v>
      </c>
      <c r="D35" s="297">
        <f>C35+1</f>
        <v>2025</v>
      </c>
      <c r="E35" s="297">
        <f t="shared" ref="E35:O35" si="6">D35+1</f>
        <v>2026</v>
      </c>
      <c r="F35" s="297">
        <f t="shared" si="6"/>
        <v>2027</v>
      </c>
      <c r="G35" s="297">
        <f t="shared" si="6"/>
        <v>2028</v>
      </c>
      <c r="H35" s="297">
        <f t="shared" si="6"/>
        <v>2029</v>
      </c>
      <c r="I35" s="297">
        <f t="shared" si="6"/>
        <v>2030</v>
      </c>
      <c r="J35" s="297">
        <f t="shared" si="6"/>
        <v>2031</v>
      </c>
      <c r="K35" s="297">
        <f t="shared" si="6"/>
        <v>2032</v>
      </c>
      <c r="L35" s="297">
        <f t="shared" si="6"/>
        <v>2033</v>
      </c>
      <c r="M35" s="297">
        <f t="shared" si="6"/>
        <v>2034</v>
      </c>
      <c r="N35" s="297">
        <f t="shared" si="6"/>
        <v>2035</v>
      </c>
      <c r="O35" s="297">
        <f t="shared" si="6"/>
        <v>2036</v>
      </c>
      <c r="P35" s="297">
        <f t="shared" ref="P35" si="7">O35+1</f>
        <v>2037</v>
      </c>
      <c r="Q35" s="297">
        <f t="shared" ref="Q35" si="8">P35+1</f>
        <v>2038</v>
      </c>
    </row>
    <row r="36" spans="1:17" ht="4.5" customHeight="1" x14ac:dyDescent="0.35">
      <c r="A36" s="238"/>
      <c r="B36" s="239"/>
      <c r="C36" s="299"/>
      <c r="D36" s="299"/>
      <c r="E36" s="299"/>
      <c r="F36" s="299"/>
      <c r="G36" s="299"/>
      <c r="H36" s="299"/>
      <c r="I36" s="299"/>
      <c r="J36" s="299"/>
      <c r="K36" s="299"/>
      <c r="L36" s="299"/>
      <c r="M36" s="299"/>
      <c r="N36" s="299"/>
      <c r="O36" s="299"/>
      <c r="P36" s="299"/>
      <c r="Q36" s="300"/>
    </row>
    <row r="37" spans="1:17" ht="15.5" x14ac:dyDescent="0.35">
      <c r="A37" s="302" t="s">
        <v>182</v>
      </c>
      <c r="B37" s="303" t="s">
        <v>2</v>
      </c>
      <c r="C37" s="72"/>
      <c r="D37" s="72"/>
      <c r="E37" s="72"/>
      <c r="F37" s="72"/>
      <c r="G37" s="72"/>
      <c r="H37" s="72"/>
      <c r="I37" s="72"/>
      <c r="J37" s="72"/>
      <c r="K37" s="72"/>
      <c r="L37" s="72"/>
      <c r="M37" s="72"/>
      <c r="N37" s="72"/>
      <c r="O37" s="72"/>
      <c r="P37" s="72"/>
      <c r="Q37" s="72"/>
    </row>
    <row r="38" spans="1:17" ht="4.5" customHeight="1" x14ac:dyDescent="0.35">
      <c r="A38" s="240"/>
      <c r="B38" s="239"/>
      <c r="C38" s="74"/>
      <c r="D38" s="74"/>
      <c r="E38" s="74"/>
      <c r="F38" s="74"/>
      <c r="G38" s="74"/>
      <c r="H38" s="74"/>
      <c r="I38" s="74"/>
      <c r="J38" s="74"/>
      <c r="K38" s="74"/>
      <c r="L38" s="74"/>
      <c r="M38" s="74"/>
      <c r="N38" s="74"/>
      <c r="O38" s="74"/>
      <c r="P38" s="74"/>
      <c r="Q38" s="134"/>
    </row>
    <row r="39" spans="1:17" x14ac:dyDescent="0.35">
      <c r="A39" s="304" t="str">
        <f>A7</f>
        <v>Lisanduvad (juurdekasvulised) tulud</v>
      </c>
      <c r="B39" s="305" t="s">
        <v>3</v>
      </c>
      <c r="C39" s="306">
        <f>'4. Lisanduvad tulud-kulud'!D53</f>
        <v>0</v>
      </c>
      <c r="D39" s="306">
        <f>'4. Lisanduvad tulud-kulud'!E53</f>
        <v>0</v>
      </c>
      <c r="E39" s="306">
        <f>'4. Lisanduvad tulud-kulud'!F53</f>
        <v>57452.266697273335</v>
      </c>
      <c r="F39" s="306">
        <f>'4. Lisanduvad tulud-kulud'!G53</f>
        <v>172356.80009182001</v>
      </c>
      <c r="G39" s="306">
        <f>'4. Lisanduvad tulud-kulud'!H53</f>
        <v>172356.80009182001</v>
      </c>
      <c r="H39" s="306">
        <f>'4. Lisanduvad tulud-kulud'!I53</f>
        <v>346282.43219383998</v>
      </c>
      <c r="I39" s="306">
        <f>'4. Lisanduvad tulud-kulud'!J53</f>
        <v>346282.43219383998</v>
      </c>
      <c r="J39" s="306">
        <f>'4. Lisanduvad tulud-kulud'!K53</f>
        <v>346282.43219383998</v>
      </c>
      <c r="K39" s="306">
        <f>'4. Lisanduvad tulud-kulud'!L53</f>
        <v>346282.43219383998</v>
      </c>
      <c r="L39" s="306">
        <f>'4. Lisanduvad tulud-kulud'!M53</f>
        <v>521776.89630606002</v>
      </c>
      <c r="M39" s="306">
        <f>'4. Lisanduvad tulud-kulud'!N53</f>
        <v>521776.89630606002</v>
      </c>
      <c r="N39" s="306">
        <f>'4. Lisanduvad tulud-kulud'!O53</f>
        <v>521776.89630606002</v>
      </c>
      <c r="O39" s="306">
        <f>'4. Lisanduvad tulud-kulud'!P53</f>
        <v>521776.89630606002</v>
      </c>
      <c r="P39" s="306">
        <f>'4. Lisanduvad tulud-kulud'!Q53</f>
        <v>521776.89630606002</v>
      </c>
      <c r="Q39" s="306">
        <f>'4. Lisanduvad tulud-kulud'!R53</f>
        <v>521776.89630606002</v>
      </c>
    </row>
    <row r="40" spans="1:17" ht="4.5" customHeight="1" x14ac:dyDescent="0.35">
      <c r="A40" s="238"/>
      <c r="B40" s="246"/>
      <c r="C40" s="18"/>
      <c r="D40" s="18"/>
      <c r="E40" s="18"/>
      <c r="F40" s="18"/>
      <c r="G40" s="18"/>
      <c r="H40" s="18"/>
      <c r="I40" s="18"/>
      <c r="J40" s="18"/>
      <c r="K40" s="18"/>
      <c r="L40" s="18"/>
      <c r="M40" s="18"/>
      <c r="N40" s="18"/>
      <c r="O40" s="18"/>
      <c r="P40" s="18"/>
      <c r="Q40" s="19"/>
    </row>
    <row r="41" spans="1:17" ht="15.5" x14ac:dyDescent="0.35">
      <c r="A41" s="309" t="s">
        <v>185</v>
      </c>
      <c r="B41" s="310" t="s">
        <v>3</v>
      </c>
      <c r="C41" s="311">
        <f t="shared" ref="C41:Q41" si="9">SUM(C39:C39)</f>
        <v>0</v>
      </c>
      <c r="D41" s="311">
        <f t="shared" si="9"/>
        <v>0</v>
      </c>
      <c r="E41" s="311">
        <f t="shared" si="9"/>
        <v>57452.266697273335</v>
      </c>
      <c r="F41" s="311">
        <f t="shared" si="9"/>
        <v>172356.80009182001</v>
      </c>
      <c r="G41" s="311">
        <f t="shared" si="9"/>
        <v>172356.80009182001</v>
      </c>
      <c r="H41" s="311">
        <f t="shared" si="9"/>
        <v>346282.43219383998</v>
      </c>
      <c r="I41" s="311">
        <f t="shared" si="9"/>
        <v>346282.43219383998</v>
      </c>
      <c r="J41" s="311">
        <f t="shared" si="9"/>
        <v>346282.43219383998</v>
      </c>
      <c r="K41" s="311">
        <f t="shared" si="9"/>
        <v>346282.43219383998</v>
      </c>
      <c r="L41" s="311">
        <f t="shared" si="9"/>
        <v>521776.89630606002</v>
      </c>
      <c r="M41" s="311">
        <f t="shared" si="9"/>
        <v>521776.89630606002</v>
      </c>
      <c r="N41" s="311">
        <f t="shared" si="9"/>
        <v>521776.89630606002</v>
      </c>
      <c r="O41" s="311">
        <f t="shared" si="9"/>
        <v>521776.89630606002</v>
      </c>
      <c r="P41" s="311">
        <f t="shared" si="9"/>
        <v>521776.89630606002</v>
      </c>
      <c r="Q41" s="311">
        <f t="shared" si="9"/>
        <v>521776.89630606002</v>
      </c>
    </row>
    <row r="42" spans="1:17" ht="4.5" customHeight="1" x14ac:dyDescent="0.35">
      <c r="A42" s="251"/>
      <c r="B42" s="246"/>
      <c r="C42" s="252"/>
      <c r="D42" s="252"/>
      <c r="E42" s="252"/>
      <c r="F42" s="252"/>
      <c r="G42" s="252"/>
      <c r="H42" s="252"/>
      <c r="I42" s="252"/>
      <c r="J42" s="252"/>
      <c r="K42" s="252"/>
      <c r="L42" s="252"/>
      <c r="M42" s="252"/>
      <c r="N42" s="252"/>
      <c r="O42" s="252"/>
      <c r="P42" s="252"/>
      <c r="Q42" s="253"/>
    </row>
    <row r="43" spans="1:17" x14ac:dyDescent="0.35">
      <c r="A43" s="254"/>
      <c r="B43" s="255"/>
      <c r="C43" s="256"/>
      <c r="D43" s="256"/>
      <c r="E43" s="256"/>
      <c r="F43" s="256"/>
      <c r="G43" s="256"/>
      <c r="H43" s="256"/>
      <c r="I43" s="256"/>
      <c r="J43" s="256"/>
      <c r="K43" s="256"/>
      <c r="L43" s="256"/>
      <c r="M43" s="256"/>
      <c r="N43" s="256"/>
      <c r="O43" s="256"/>
      <c r="P43" s="256"/>
      <c r="Q43" s="256"/>
    </row>
    <row r="44" spans="1:17" ht="15.5" x14ac:dyDescent="0.35">
      <c r="A44" s="302" t="s">
        <v>186</v>
      </c>
      <c r="B44" s="257"/>
      <c r="C44" s="11"/>
      <c r="D44" s="11"/>
      <c r="E44" s="11"/>
      <c r="F44" s="11"/>
      <c r="G44" s="11"/>
      <c r="H44" s="11"/>
      <c r="I44" s="11"/>
      <c r="J44" s="11"/>
      <c r="K44" s="11"/>
      <c r="L44" s="11"/>
      <c r="M44" s="11"/>
      <c r="N44" s="11"/>
      <c r="O44" s="11"/>
      <c r="P44" s="11"/>
      <c r="Q44" s="11"/>
    </row>
    <row r="45" spans="1:17" ht="4.5" customHeight="1" x14ac:dyDescent="0.35">
      <c r="A45" s="240"/>
      <c r="B45" s="246"/>
      <c r="C45" s="18"/>
      <c r="D45" s="18"/>
      <c r="E45" s="18"/>
      <c r="F45" s="18"/>
      <c r="G45" s="18"/>
      <c r="H45" s="18"/>
      <c r="I45" s="18"/>
      <c r="J45" s="18"/>
      <c r="K45" s="18"/>
      <c r="L45" s="18"/>
      <c r="M45" s="18"/>
      <c r="N45" s="18"/>
      <c r="O45" s="18"/>
      <c r="P45" s="18"/>
      <c r="Q45" s="19"/>
    </row>
    <row r="46" spans="1:17" x14ac:dyDescent="0.35">
      <c r="A46" s="307" t="str">
        <f>A16</f>
        <v>Lisanduvad (juurdekasvulised) kulud</v>
      </c>
      <c r="B46" s="305" t="s">
        <v>3</v>
      </c>
      <c r="C46" s="306">
        <f>'4. Lisanduvad tulud-kulud'!D118</f>
        <v>22253.616000000002</v>
      </c>
      <c r="D46" s="306">
        <f>'4. Lisanduvad tulud-kulud'!E118</f>
        <v>89014.464000000007</v>
      </c>
      <c r="E46" s="306">
        <f>'4. Lisanduvad tulud-kulud'!F118</f>
        <v>187568.82434690668</v>
      </c>
      <c r="F46" s="306">
        <f>'4. Lisanduvad tulud-kulud'!G118</f>
        <v>352184.37186727999</v>
      </c>
      <c r="G46" s="306">
        <f>'4. Lisanduvad tulud-kulud'!H118</f>
        <v>352184.37186727999</v>
      </c>
      <c r="H46" s="306">
        <f>'4. Lisanduvad tulud-kulud'!I118</f>
        <v>361855.93338767998</v>
      </c>
      <c r="I46" s="306">
        <f>'4. Lisanduvad tulud-kulud'!J118</f>
        <v>361855.93338767998</v>
      </c>
      <c r="J46" s="306">
        <f>'4. Lisanduvad tulud-kulud'!K118</f>
        <v>361855.93338767998</v>
      </c>
      <c r="K46" s="306">
        <f>'4. Lisanduvad tulud-kulud'!L118</f>
        <v>361855.93338767998</v>
      </c>
      <c r="L46" s="306">
        <f>'4. Lisanduvad tulud-kulud'!M118</f>
        <v>371527.49490807997</v>
      </c>
      <c r="M46" s="306">
        <f>'4. Lisanduvad tulud-kulud'!N118</f>
        <v>371527.49490807997</v>
      </c>
      <c r="N46" s="306">
        <f>'4. Lisanduvad tulud-kulud'!O118</f>
        <v>371527.49490807997</v>
      </c>
      <c r="O46" s="306">
        <f>'4. Lisanduvad tulud-kulud'!P118</f>
        <v>371527.49490807997</v>
      </c>
      <c r="P46" s="306">
        <f>'4. Lisanduvad tulud-kulud'!Q118</f>
        <v>371527.49490807997</v>
      </c>
      <c r="Q46" s="306">
        <f>'4. Lisanduvad tulud-kulud'!R118</f>
        <v>535597.49490807997</v>
      </c>
    </row>
    <row r="47" spans="1:17" x14ac:dyDescent="0.35">
      <c r="A47" s="307" t="s">
        <v>198</v>
      </c>
      <c r="B47" s="305" t="s">
        <v>3</v>
      </c>
      <c r="C47" s="306">
        <f>'1. Projekti elluviimise kulud'!D19</f>
        <v>50000</v>
      </c>
      <c r="D47" s="306">
        <f>'1. Projekti elluviimise kulud'!E19</f>
        <v>10938000</v>
      </c>
      <c r="E47" s="306">
        <f>'1. Projekti elluviimise kulud'!F19</f>
        <v>2000</v>
      </c>
      <c r="F47" s="306">
        <f>'1. Projekti elluviimise kulud'!G19</f>
        <v>0</v>
      </c>
      <c r="G47" s="306">
        <f>'1. Projekti elluviimise kulud'!H19</f>
        <v>0</v>
      </c>
      <c r="H47" s="306">
        <f>'1. Projekti elluviimise kulud'!I19</f>
        <v>0</v>
      </c>
      <c r="I47" s="258"/>
      <c r="J47" s="258"/>
      <c r="K47" s="258"/>
      <c r="L47" s="258"/>
      <c r="M47" s="258"/>
      <c r="N47" s="258"/>
      <c r="O47" s="258"/>
      <c r="P47" s="258"/>
      <c r="Q47" s="258"/>
    </row>
    <row r="48" spans="1:17" x14ac:dyDescent="0.35">
      <c r="A48" s="307" t="s">
        <v>184</v>
      </c>
      <c r="B48" s="305" t="s">
        <v>3</v>
      </c>
      <c r="C48" s="258"/>
      <c r="D48" s="258"/>
      <c r="E48" s="258"/>
      <c r="F48" s="258"/>
      <c r="G48" s="258"/>
      <c r="H48" s="258"/>
      <c r="I48" s="258"/>
      <c r="J48" s="258"/>
      <c r="K48" s="258"/>
      <c r="L48" s="258"/>
      <c r="M48" s="258"/>
      <c r="N48" s="258"/>
      <c r="O48" s="258"/>
      <c r="P48" s="258"/>
      <c r="Q48" s="306">
        <f>-Q8</f>
        <v>0</v>
      </c>
    </row>
    <row r="49" spans="1:17" ht="4.5" customHeight="1" x14ac:dyDescent="0.35">
      <c r="A49" s="259"/>
      <c r="B49" s="260"/>
      <c r="C49" s="258"/>
      <c r="D49" s="258"/>
      <c r="E49" s="258"/>
      <c r="F49" s="258"/>
      <c r="G49" s="258"/>
      <c r="H49" s="258"/>
      <c r="I49" s="258"/>
      <c r="J49" s="258"/>
      <c r="K49" s="258"/>
      <c r="L49" s="258"/>
      <c r="M49" s="258"/>
      <c r="N49" s="258"/>
      <c r="O49" s="258"/>
      <c r="P49" s="258"/>
      <c r="Q49" s="258"/>
    </row>
    <row r="50" spans="1:17" ht="15.5" x14ac:dyDescent="0.35">
      <c r="A50" s="309" t="s">
        <v>190</v>
      </c>
      <c r="B50" s="310" t="s">
        <v>3</v>
      </c>
      <c r="C50" s="311">
        <f t="shared" ref="C50:Q50" si="10">SUM(C46:C48)</f>
        <v>72253.616000000009</v>
      </c>
      <c r="D50" s="311">
        <f t="shared" si="10"/>
        <v>11027014.464</v>
      </c>
      <c r="E50" s="311">
        <f t="shared" si="10"/>
        <v>189568.82434690668</v>
      </c>
      <c r="F50" s="311">
        <f t="shared" si="10"/>
        <v>352184.37186727999</v>
      </c>
      <c r="G50" s="311">
        <f t="shared" si="10"/>
        <v>352184.37186727999</v>
      </c>
      <c r="H50" s="311">
        <f t="shared" si="10"/>
        <v>361855.93338767998</v>
      </c>
      <c r="I50" s="311">
        <f t="shared" si="10"/>
        <v>361855.93338767998</v>
      </c>
      <c r="J50" s="311">
        <f t="shared" si="10"/>
        <v>361855.93338767998</v>
      </c>
      <c r="K50" s="311">
        <f t="shared" si="10"/>
        <v>361855.93338767998</v>
      </c>
      <c r="L50" s="311">
        <f t="shared" si="10"/>
        <v>371527.49490807997</v>
      </c>
      <c r="M50" s="311">
        <f t="shared" si="10"/>
        <v>371527.49490807997</v>
      </c>
      <c r="N50" s="311">
        <f t="shared" si="10"/>
        <v>371527.49490807997</v>
      </c>
      <c r="O50" s="311">
        <f t="shared" si="10"/>
        <v>371527.49490807997</v>
      </c>
      <c r="P50" s="311">
        <f t="shared" si="10"/>
        <v>371527.49490807997</v>
      </c>
      <c r="Q50" s="311">
        <f t="shared" si="10"/>
        <v>535597.49490807997</v>
      </c>
    </row>
    <row r="51" spans="1:17" ht="4.5" customHeight="1" x14ac:dyDescent="0.35">
      <c r="A51" s="251"/>
      <c r="B51" s="246"/>
      <c r="C51" s="252"/>
      <c r="D51" s="252"/>
      <c r="E51" s="252"/>
      <c r="F51" s="252"/>
      <c r="G51" s="252"/>
      <c r="H51" s="252"/>
      <c r="I51" s="252"/>
      <c r="J51" s="252"/>
      <c r="K51" s="252"/>
      <c r="L51" s="252"/>
      <c r="M51" s="252"/>
      <c r="N51" s="252"/>
      <c r="O51" s="252"/>
      <c r="P51" s="252"/>
      <c r="Q51" s="253"/>
    </row>
    <row r="52" spans="1:17" ht="15.5" x14ac:dyDescent="0.35">
      <c r="A52" s="261"/>
      <c r="B52" s="255"/>
      <c r="C52" s="262"/>
      <c r="D52" s="262"/>
      <c r="E52" s="262"/>
      <c r="F52" s="262"/>
      <c r="G52" s="262"/>
      <c r="H52" s="262"/>
      <c r="I52" s="262"/>
      <c r="J52" s="262"/>
      <c r="K52" s="262"/>
      <c r="L52" s="262"/>
      <c r="M52" s="262"/>
      <c r="N52" s="262"/>
      <c r="O52" s="262"/>
      <c r="P52" s="262"/>
      <c r="Q52" s="276"/>
    </row>
    <row r="53" spans="1:17" ht="29" x14ac:dyDescent="0.35">
      <c r="A53" s="312" t="s">
        <v>191</v>
      </c>
      <c r="B53" s="313" t="s">
        <v>3</v>
      </c>
      <c r="C53" s="314">
        <f t="shared" ref="C53:Q53" si="11">C41-C50</f>
        <v>-72253.616000000009</v>
      </c>
      <c r="D53" s="314">
        <f t="shared" si="11"/>
        <v>-11027014.464</v>
      </c>
      <c r="E53" s="314">
        <f t="shared" si="11"/>
        <v>-132116.55764963335</v>
      </c>
      <c r="F53" s="314">
        <f t="shared" si="11"/>
        <v>-179827.57177545998</v>
      </c>
      <c r="G53" s="314">
        <f t="shared" si="11"/>
        <v>-179827.57177545998</v>
      </c>
      <c r="H53" s="314">
        <f t="shared" si="11"/>
        <v>-15573.501193839998</v>
      </c>
      <c r="I53" s="314">
        <f t="shared" si="11"/>
        <v>-15573.501193839998</v>
      </c>
      <c r="J53" s="314">
        <f t="shared" si="11"/>
        <v>-15573.501193839998</v>
      </c>
      <c r="K53" s="314">
        <f t="shared" si="11"/>
        <v>-15573.501193839998</v>
      </c>
      <c r="L53" s="314">
        <f t="shared" si="11"/>
        <v>150249.40139798005</v>
      </c>
      <c r="M53" s="314">
        <f t="shared" si="11"/>
        <v>150249.40139798005</v>
      </c>
      <c r="N53" s="314">
        <f t="shared" si="11"/>
        <v>150249.40139798005</v>
      </c>
      <c r="O53" s="314">
        <f t="shared" si="11"/>
        <v>150249.40139798005</v>
      </c>
      <c r="P53" s="314">
        <f t="shared" si="11"/>
        <v>150249.40139798005</v>
      </c>
      <c r="Q53" s="314">
        <f t="shared" si="11"/>
        <v>-13820.598602019949</v>
      </c>
    </row>
    <row r="54" spans="1:17" ht="4.5" customHeight="1" x14ac:dyDescent="0.35">
      <c r="A54" s="238"/>
      <c r="B54" s="246"/>
      <c r="C54" s="18"/>
      <c r="D54" s="18"/>
      <c r="E54" s="18"/>
      <c r="F54" s="18"/>
      <c r="G54" s="18"/>
      <c r="H54" s="18"/>
      <c r="I54" s="18"/>
      <c r="J54" s="18"/>
      <c r="K54" s="18"/>
      <c r="L54" s="18"/>
      <c r="M54" s="18"/>
      <c r="N54" s="18"/>
      <c r="O54" s="18"/>
      <c r="P54" s="18"/>
      <c r="Q54" s="18"/>
    </row>
    <row r="56" spans="1:17" x14ac:dyDescent="0.35">
      <c r="A56" s="830" t="s">
        <v>192</v>
      </c>
      <c r="B56" s="830"/>
      <c r="C56" s="831">
        <f>C28</f>
        <v>0.04</v>
      </c>
      <c r="D56" s="831"/>
    </row>
    <row r="57" spans="1:17" ht="34.5" customHeight="1" x14ac:dyDescent="0.35">
      <c r="A57" s="765" t="s">
        <v>199</v>
      </c>
      <c r="B57" s="765"/>
      <c r="C57" s="832">
        <f>NPV(C56,C53:Q53)</f>
        <v>-10267732.02073893</v>
      </c>
      <c r="D57" s="832"/>
      <c r="H57"/>
      <c r="I57"/>
      <c r="J57"/>
      <c r="K57"/>
    </row>
    <row r="58" spans="1:17" ht="19.5" customHeight="1" x14ac:dyDescent="0.35">
      <c r="A58" s="830" t="s">
        <v>200</v>
      </c>
      <c r="B58" s="830"/>
      <c r="C58" s="831">
        <f>IRR(C53:Q53,J30)</f>
        <v>-0.24109020321989005</v>
      </c>
      <c r="D58" s="833"/>
      <c r="H58"/>
      <c r="I58"/>
      <c r="J58"/>
      <c r="K58"/>
    </row>
    <row r="59" spans="1:17" x14ac:dyDescent="0.35">
      <c r="H59"/>
      <c r="I59"/>
      <c r="J59"/>
      <c r="K59"/>
    </row>
    <row r="60" spans="1:17" x14ac:dyDescent="0.3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27</vt:i4>
      </vt:variant>
      <vt:variant>
        <vt:lpstr>Nimega vahemikud</vt:lpstr>
      </vt:variant>
      <vt:variant>
        <vt:i4>10</vt:i4>
      </vt:variant>
    </vt:vector>
  </HeadingPairs>
  <TitlesOfParts>
    <vt:vector size="37" baseType="lpstr">
      <vt:lpstr>Juhend</vt:lpstr>
      <vt:lpstr>Esileht</vt:lpstr>
      <vt:lpstr>1. Projekti elluviimise kulud</vt:lpstr>
      <vt:lpstr>2. Tulud-kulud projektiga</vt:lpstr>
      <vt:lpstr>3. Tulud-kulud projektita</vt:lpstr>
      <vt:lpstr>4. Lisanduvad tulud-kulud</vt:lpstr>
      <vt:lpstr>5. Abikõlblik kulu</vt:lpstr>
      <vt:lpstr>6. Rahavood</vt:lpstr>
      <vt:lpstr>7. Tasuvus</vt:lpstr>
      <vt:lpstr>8. Jääkväärtus</vt:lpstr>
      <vt:lpstr>Asendusinvesteeringud</vt:lpstr>
      <vt:lpstr>Maksumäärad</vt:lpstr>
      <vt:lpstr>Arvestusperioodid</vt:lpstr>
      <vt:lpstr>Ruumid</vt:lpstr>
      <vt:lpstr>Eeldused25</vt:lpstr>
      <vt:lpstr>Tulud25</vt:lpstr>
      <vt:lpstr>Kulud25</vt:lpstr>
      <vt:lpstr>Eeldused50</vt:lpstr>
      <vt:lpstr>Tulud50</vt:lpstr>
      <vt:lpstr>Kulud50</vt:lpstr>
      <vt:lpstr>Eeldused75</vt:lpstr>
      <vt:lpstr>Tulud75</vt:lpstr>
      <vt:lpstr>Kulud75</vt:lpstr>
      <vt:lpstr>Tegevuseelarve</vt:lpstr>
      <vt:lpstr>Sots.majanduslik moju</vt:lpstr>
      <vt:lpstr>Eeldused SotsMajand. moju</vt:lpstr>
      <vt:lpstr>Link tabel</vt:lpstr>
      <vt:lpstr>Kulud25!Prindiala</vt:lpstr>
      <vt:lpstr>Kulud50!Prindiala</vt:lpstr>
      <vt:lpstr>Kulud75!Prindiala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2024-02-15T08:52:09Z</cp:lastPrinted>
  <dcterms:created xsi:type="dcterms:W3CDTF">2015-05-28T12:05:22Z</dcterms:created>
  <dcterms:modified xsi:type="dcterms:W3CDTF">2024-05-28T07:49:08Z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